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19 Session Work\Models\"/>
    </mc:Choice>
  </mc:AlternateContent>
  <bookViews>
    <workbookView xWindow="0" yWindow="0" windowWidth="28800" windowHeight="11775" tabRatio="852"/>
  </bookViews>
  <sheets>
    <sheet name="Front page" sheetId="1" r:id="rId1"/>
    <sheet name="Funding Comparison" sheetId="4" r:id="rId2"/>
    <sheet name="Budget Estimating Tool" sheetId="7" r:id="rId3"/>
    <sheet name="Minimum and Maximum Funding" sheetId="13" r:id="rId4"/>
    <sheet name="Student Enrollment Data" sheetId="3" r:id="rId5"/>
    <sheet name="Small Dist Weight" sheetId="6" r:id="rId6"/>
    <sheet name="Remote School Building Weight" sheetId="8" r:id="rId7"/>
    <sheet name="Large District Weight" sheetId="9" r:id="rId8"/>
    <sheet name="Economic Adjustment" sheetId="10" r:id="rId9"/>
    <sheet name="Teacher Exp" sheetId="12" r:id="rId10"/>
    <sheet name="Calculations" sheetId="5" r:id="rId11"/>
    <sheet name="settings" sheetId="2" r:id="rId12"/>
  </sheets>
  <definedNames>
    <definedName name="_xlnm._FilterDatabase" localSheetId="1" hidden="1">'Funding Comparison'!$A$2:$AH$175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7" l="1"/>
  <c r="F31" i="7"/>
  <c r="E2" i="1" l="1"/>
  <c r="F26" i="7"/>
  <c r="E26" i="7"/>
  <c r="F25" i="7"/>
  <c r="F24" i="7"/>
  <c r="E24" i="7"/>
  <c r="D23" i="7"/>
  <c r="C23" i="7"/>
  <c r="F22" i="7"/>
  <c r="F21" i="7"/>
  <c r="F20" i="7"/>
  <c r="D19" i="7"/>
  <c r="F19" i="7" s="1"/>
  <c r="F18" i="7"/>
  <c r="F17" i="7"/>
  <c r="E17" i="7"/>
  <c r="F16" i="7"/>
  <c r="F15" i="7"/>
  <c r="E15" i="7"/>
  <c r="D14" i="7"/>
  <c r="C14" i="7"/>
  <c r="C27" i="7" s="1"/>
  <c r="C29" i="7" s="1"/>
  <c r="F13" i="7"/>
  <c r="D13" i="7"/>
  <c r="F12" i="7"/>
  <c r="E12" i="7"/>
  <c r="F11" i="7"/>
  <c r="D11" i="7"/>
  <c r="F10" i="7"/>
  <c r="E10" i="7"/>
  <c r="F9" i="7"/>
  <c r="D8" i="7"/>
  <c r="F8" i="7" s="1"/>
  <c r="F7" i="7"/>
  <c r="E7" i="7"/>
  <c r="D4" i="7"/>
  <c r="F4" i="7" s="1"/>
  <c r="C4" i="7"/>
  <c r="F3" i="7"/>
  <c r="E3" i="7"/>
  <c r="F2" i="7"/>
  <c r="E2" i="7"/>
  <c r="F14" i="7" l="1"/>
  <c r="F27" i="7" s="1"/>
  <c r="F23" i="7"/>
  <c r="E4" i="7"/>
  <c r="E23" i="7"/>
  <c r="D27" i="7"/>
  <c r="E27" i="7" s="1"/>
  <c r="E14" i="7"/>
  <c r="A15" i="4"/>
  <c r="B15" i="4" s="1"/>
  <c r="A14" i="4"/>
  <c r="B14" i="4" s="1"/>
  <c r="A13" i="4"/>
  <c r="B13" i="4" s="1"/>
  <c r="A12" i="4"/>
  <c r="B12" i="4" s="1"/>
  <c r="A11" i="4"/>
  <c r="B11" i="4" s="1"/>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O12" i="10"/>
  <c r="O11" i="10"/>
  <c r="O10" i="10"/>
  <c r="O9" i="10"/>
  <c r="O8" i="10"/>
  <c r="O7" i="10"/>
  <c r="O6" i="10"/>
  <c r="O5" i="10"/>
  <c r="O4" i="10"/>
  <c r="O3" i="10"/>
  <c r="O2"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2" i="10"/>
  <c r="I3" i="10"/>
  <c r="D29" i="7" l="1"/>
  <c r="E29" i="7" l="1"/>
  <c r="O161" i="13"/>
  <c r="O162" i="13"/>
  <c r="O163" i="13"/>
  <c r="O164" i="13"/>
  <c r="O165" i="13"/>
  <c r="K119" i="4" l="1"/>
  <c r="CO26" i="3" l="1"/>
  <c r="CO47" i="3"/>
  <c r="CO92" i="3"/>
  <c r="CO100" i="3"/>
  <c r="CO104" i="3"/>
  <c r="CO111" i="3"/>
  <c r="CO120" i="3"/>
  <c r="CO121" i="3"/>
  <c r="CO122" i="3"/>
  <c r="CO123" i="3"/>
  <c r="CO124" i="3"/>
  <c r="CO125" i="3"/>
  <c r="CO126" i="3"/>
  <c r="CO127" i="3"/>
  <c r="CO128" i="3"/>
  <c r="CO129" i="3"/>
  <c r="CO130" i="3"/>
  <c r="CO131" i="3"/>
  <c r="CO132" i="3"/>
  <c r="CO133" i="3"/>
  <c r="CO134" i="3"/>
  <c r="CO135" i="3"/>
  <c r="CO136" i="3"/>
  <c r="CO137" i="3"/>
  <c r="CO138" i="3"/>
  <c r="CO139" i="3"/>
  <c r="CO140" i="3"/>
  <c r="CO141" i="3"/>
  <c r="CO142" i="3"/>
  <c r="CO143" i="3"/>
  <c r="CO144" i="3"/>
  <c r="CO145" i="3"/>
  <c r="CO146" i="3"/>
  <c r="CO147" i="3"/>
  <c r="CO148" i="3"/>
  <c r="CO149" i="3"/>
  <c r="CO150" i="3"/>
  <c r="CO151" i="3"/>
  <c r="CO152" i="3"/>
  <c r="CO153" i="3"/>
  <c r="CO154" i="3"/>
  <c r="CO155" i="3"/>
  <c r="CO156" i="3"/>
  <c r="CO157" i="3"/>
  <c r="CO158" i="3"/>
  <c r="CO159" i="3"/>
  <c r="CO160" i="3"/>
  <c r="CO161" i="3"/>
  <c r="CO162" i="3"/>
  <c r="CO163" i="3"/>
  <c r="CO164" i="3"/>
  <c r="CO165" i="3"/>
  <c r="CO166" i="3"/>
  <c r="CO167" i="3"/>
  <c r="CO168" i="3"/>
  <c r="CO169" i="3"/>
  <c r="CO170" i="3"/>
  <c r="CO171" i="3"/>
  <c r="CO172" i="3"/>
  <c r="CO173" i="3"/>
  <c r="CO174" i="3"/>
  <c r="CO175" i="3"/>
  <c r="CO176" i="3"/>
  <c r="CO119" i="3"/>
  <c r="CK5" i="3"/>
  <c r="CL5" i="3"/>
  <c r="CM5" i="3"/>
  <c r="CN5" i="3"/>
  <c r="CK6" i="3"/>
  <c r="CL6" i="3"/>
  <c r="CM6" i="3"/>
  <c r="CN6" i="3"/>
  <c r="CK7" i="3"/>
  <c r="CL7" i="3"/>
  <c r="CM7" i="3"/>
  <c r="CN7" i="3"/>
  <c r="CK8" i="3"/>
  <c r="CL8" i="3"/>
  <c r="CM8" i="3"/>
  <c r="CN8" i="3"/>
  <c r="CK9" i="3"/>
  <c r="CL9" i="3"/>
  <c r="CM9" i="3"/>
  <c r="CN9" i="3"/>
  <c r="CK10" i="3"/>
  <c r="CL10" i="3"/>
  <c r="CM10" i="3"/>
  <c r="CN10" i="3"/>
  <c r="CK11" i="3"/>
  <c r="CL11" i="3"/>
  <c r="CM11" i="3"/>
  <c r="CN11" i="3"/>
  <c r="CK12" i="3"/>
  <c r="CL12" i="3"/>
  <c r="CM12" i="3"/>
  <c r="CN12" i="3"/>
  <c r="CK13" i="3"/>
  <c r="CL13" i="3"/>
  <c r="CM13" i="3"/>
  <c r="CN13" i="3"/>
  <c r="CK14" i="3"/>
  <c r="CL14" i="3"/>
  <c r="CM14" i="3"/>
  <c r="CN14" i="3"/>
  <c r="CK15" i="3"/>
  <c r="CL15" i="3"/>
  <c r="CM15" i="3"/>
  <c r="CN15" i="3"/>
  <c r="CK16" i="3"/>
  <c r="CL16" i="3"/>
  <c r="CM16" i="3"/>
  <c r="CN16" i="3"/>
  <c r="CK17" i="3"/>
  <c r="CL17" i="3"/>
  <c r="CM17" i="3"/>
  <c r="CN17" i="3"/>
  <c r="CK18" i="3"/>
  <c r="CL18" i="3"/>
  <c r="CM18" i="3"/>
  <c r="CN18" i="3"/>
  <c r="CK19" i="3"/>
  <c r="CL19" i="3"/>
  <c r="CM19" i="3"/>
  <c r="CN19" i="3"/>
  <c r="CK20" i="3"/>
  <c r="CL20" i="3"/>
  <c r="CM20" i="3"/>
  <c r="CN20" i="3"/>
  <c r="CK21" i="3"/>
  <c r="CL21" i="3"/>
  <c r="CM21" i="3"/>
  <c r="CN21" i="3"/>
  <c r="CK22" i="3"/>
  <c r="CL22" i="3"/>
  <c r="CM22" i="3"/>
  <c r="CN22" i="3"/>
  <c r="CK23" i="3"/>
  <c r="CL23" i="3"/>
  <c r="CM23" i="3"/>
  <c r="CN23" i="3"/>
  <c r="CK24" i="3"/>
  <c r="CL24" i="3"/>
  <c r="CM24" i="3"/>
  <c r="CN24" i="3"/>
  <c r="CK25" i="3"/>
  <c r="CL25" i="3"/>
  <c r="CM25" i="3"/>
  <c r="CN25" i="3"/>
  <c r="CK26" i="3"/>
  <c r="CL26" i="3"/>
  <c r="CM26" i="3"/>
  <c r="CN26" i="3"/>
  <c r="CK27" i="3"/>
  <c r="CL27" i="3"/>
  <c r="CM27" i="3"/>
  <c r="CN27" i="3"/>
  <c r="CK28" i="3"/>
  <c r="CL28" i="3"/>
  <c r="CM28" i="3"/>
  <c r="CN28" i="3"/>
  <c r="CK29" i="3"/>
  <c r="CL29" i="3"/>
  <c r="CM29" i="3"/>
  <c r="CN29" i="3"/>
  <c r="CK30" i="3"/>
  <c r="CL30" i="3"/>
  <c r="CM30" i="3"/>
  <c r="CN30" i="3"/>
  <c r="CK31" i="3"/>
  <c r="CL31" i="3"/>
  <c r="CM31" i="3"/>
  <c r="CN31" i="3"/>
  <c r="CK32" i="3"/>
  <c r="CL32" i="3"/>
  <c r="CM32" i="3"/>
  <c r="CN32" i="3"/>
  <c r="CK33" i="3"/>
  <c r="CL33" i="3"/>
  <c r="CM33" i="3"/>
  <c r="CN33" i="3"/>
  <c r="CK34" i="3"/>
  <c r="CL34" i="3"/>
  <c r="CM34" i="3"/>
  <c r="CN34" i="3"/>
  <c r="CK35" i="3"/>
  <c r="CL35" i="3"/>
  <c r="CM35" i="3"/>
  <c r="CN35" i="3"/>
  <c r="CK36" i="3"/>
  <c r="CL36" i="3"/>
  <c r="CM36" i="3"/>
  <c r="CN36" i="3"/>
  <c r="CK37" i="3"/>
  <c r="CL37" i="3"/>
  <c r="CM37" i="3"/>
  <c r="CN37" i="3"/>
  <c r="CK38" i="3"/>
  <c r="CL38" i="3"/>
  <c r="CM38" i="3"/>
  <c r="CN38" i="3"/>
  <c r="CK39" i="3"/>
  <c r="CL39" i="3"/>
  <c r="CM39" i="3"/>
  <c r="CN39" i="3"/>
  <c r="CK40" i="3"/>
  <c r="CL40" i="3"/>
  <c r="CM40" i="3"/>
  <c r="CN40" i="3"/>
  <c r="CK41" i="3"/>
  <c r="CL41" i="3"/>
  <c r="CM41" i="3"/>
  <c r="CN41" i="3"/>
  <c r="CK42" i="3"/>
  <c r="CL42" i="3"/>
  <c r="CM42" i="3"/>
  <c r="CN42" i="3"/>
  <c r="CK43" i="3"/>
  <c r="CL43" i="3"/>
  <c r="CM43" i="3"/>
  <c r="CN43" i="3"/>
  <c r="CK44" i="3"/>
  <c r="CL44" i="3"/>
  <c r="CM44" i="3"/>
  <c r="CN44" i="3"/>
  <c r="CK45" i="3"/>
  <c r="CL45" i="3"/>
  <c r="CM45" i="3"/>
  <c r="CN45" i="3"/>
  <c r="CK46" i="3"/>
  <c r="CL46" i="3"/>
  <c r="CM46" i="3"/>
  <c r="CN46" i="3"/>
  <c r="CK47" i="3"/>
  <c r="CL47" i="3"/>
  <c r="CM47" i="3"/>
  <c r="CN47" i="3"/>
  <c r="CK48" i="3"/>
  <c r="CL48" i="3"/>
  <c r="CM48" i="3"/>
  <c r="CN48" i="3"/>
  <c r="CK49" i="3"/>
  <c r="CL49" i="3"/>
  <c r="CM49" i="3"/>
  <c r="CN49" i="3"/>
  <c r="CK50" i="3"/>
  <c r="CL50" i="3"/>
  <c r="CM50" i="3"/>
  <c r="CN50" i="3"/>
  <c r="CK51" i="3"/>
  <c r="CL51" i="3"/>
  <c r="CM51" i="3"/>
  <c r="CN51" i="3"/>
  <c r="CK52" i="3"/>
  <c r="CL52" i="3"/>
  <c r="CM52" i="3"/>
  <c r="CN52" i="3"/>
  <c r="CK53" i="3"/>
  <c r="CL53" i="3"/>
  <c r="CM53" i="3"/>
  <c r="CN53" i="3"/>
  <c r="CK54" i="3"/>
  <c r="CL54" i="3"/>
  <c r="CM54" i="3"/>
  <c r="CN54" i="3"/>
  <c r="CK55" i="3"/>
  <c r="CL55" i="3"/>
  <c r="CM55" i="3"/>
  <c r="CN55" i="3"/>
  <c r="CK56" i="3"/>
  <c r="CL56" i="3"/>
  <c r="CM56" i="3"/>
  <c r="CN56" i="3"/>
  <c r="CK57" i="3"/>
  <c r="CL57" i="3"/>
  <c r="CM57" i="3"/>
  <c r="CN57" i="3"/>
  <c r="CK58" i="3"/>
  <c r="CL58" i="3"/>
  <c r="CM58" i="3"/>
  <c r="CN58" i="3"/>
  <c r="CK59" i="3"/>
  <c r="CL59" i="3"/>
  <c r="CM59" i="3"/>
  <c r="CN59" i="3"/>
  <c r="CK60" i="3"/>
  <c r="CL60" i="3"/>
  <c r="CM60" i="3"/>
  <c r="CN60" i="3"/>
  <c r="CK61" i="3"/>
  <c r="CL61" i="3"/>
  <c r="CM61" i="3"/>
  <c r="CN61" i="3"/>
  <c r="CK62" i="3"/>
  <c r="CL62" i="3"/>
  <c r="CM62" i="3"/>
  <c r="CN62" i="3"/>
  <c r="CK63" i="3"/>
  <c r="CL63" i="3"/>
  <c r="CM63" i="3"/>
  <c r="CN63" i="3"/>
  <c r="CK64" i="3"/>
  <c r="CL64" i="3"/>
  <c r="CM64" i="3"/>
  <c r="CN64" i="3"/>
  <c r="CK65" i="3"/>
  <c r="CL65" i="3"/>
  <c r="CM65" i="3"/>
  <c r="CN65" i="3"/>
  <c r="CK66" i="3"/>
  <c r="CL66" i="3"/>
  <c r="CM66" i="3"/>
  <c r="CN66" i="3"/>
  <c r="CK67" i="3"/>
  <c r="CL67" i="3"/>
  <c r="CM67" i="3"/>
  <c r="CN67" i="3"/>
  <c r="CK68" i="3"/>
  <c r="CL68" i="3"/>
  <c r="CM68" i="3"/>
  <c r="CN68" i="3"/>
  <c r="CK69" i="3"/>
  <c r="CL69" i="3"/>
  <c r="CM69" i="3"/>
  <c r="CN69" i="3"/>
  <c r="CK70" i="3"/>
  <c r="CL70" i="3"/>
  <c r="CM70" i="3"/>
  <c r="CN70" i="3"/>
  <c r="CK71" i="3"/>
  <c r="CL71" i="3"/>
  <c r="CM71" i="3"/>
  <c r="CN71" i="3"/>
  <c r="CK72" i="3"/>
  <c r="CL72" i="3"/>
  <c r="CM72" i="3"/>
  <c r="CN72" i="3"/>
  <c r="CK73" i="3"/>
  <c r="CL73" i="3"/>
  <c r="CM73" i="3"/>
  <c r="CN73" i="3"/>
  <c r="CK74" i="3"/>
  <c r="CL74" i="3"/>
  <c r="CM74" i="3"/>
  <c r="CN74" i="3"/>
  <c r="CK75" i="3"/>
  <c r="CL75" i="3"/>
  <c r="CM75" i="3"/>
  <c r="CN75" i="3"/>
  <c r="CK76" i="3"/>
  <c r="CL76" i="3"/>
  <c r="CM76" i="3"/>
  <c r="CN76" i="3"/>
  <c r="CK77" i="3"/>
  <c r="CL77" i="3"/>
  <c r="CM77" i="3"/>
  <c r="CN77" i="3"/>
  <c r="CK78" i="3"/>
  <c r="CL78" i="3"/>
  <c r="CM78" i="3"/>
  <c r="CN78" i="3"/>
  <c r="CK79" i="3"/>
  <c r="CL79" i="3"/>
  <c r="CM79" i="3"/>
  <c r="CN79" i="3"/>
  <c r="CK80" i="3"/>
  <c r="M79" i="13" s="1"/>
  <c r="CL80" i="3"/>
  <c r="CM80" i="3"/>
  <c r="CN80" i="3"/>
  <c r="CK81" i="3"/>
  <c r="CL81" i="3"/>
  <c r="CM81" i="3"/>
  <c r="CN81" i="3"/>
  <c r="CK82" i="3"/>
  <c r="M81" i="13" s="1"/>
  <c r="CL82" i="3"/>
  <c r="CM82" i="3"/>
  <c r="CN82" i="3"/>
  <c r="CK83" i="3"/>
  <c r="CL83" i="3"/>
  <c r="CM83" i="3"/>
  <c r="CN83" i="3"/>
  <c r="CK84" i="3"/>
  <c r="CL84" i="3"/>
  <c r="CM84" i="3"/>
  <c r="CN84" i="3"/>
  <c r="CK85" i="3"/>
  <c r="CL85" i="3"/>
  <c r="CM85" i="3"/>
  <c r="CN85" i="3"/>
  <c r="CK86" i="3"/>
  <c r="M85" i="13" s="1"/>
  <c r="CL86" i="3"/>
  <c r="CM86" i="3"/>
  <c r="CN86" i="3"/>
  <c r="CK87" i="3"/>
  <c r="CL87" i="3"/>
  <c r="CM87" i="3"/>
  <c r="CN87" i="3"/>
  <c r="CK88" i="3"/>
  <c r="M87" i="13" s="1"/>
  <c r="CL88" i="3"/>
  <c r="CM88" i="3"/>
  <c r="CN88" i="3"/>
  <c r="CK89" i="3"/>
  <c r="CL89" i="3"/>
  <c r="CM89" i="3"/>
  <c r="CN89" i="3"/>
  <c r="CK90" i="3"/>
  <c r="M89" i="13" s="1"/>
  <c r="CL90" i="3"/>
  <c r="CM90" i="3"/>
  <c r="CN90" i="3"/>
  <c r="CK91" i="3"/>
  <c r="CL91" i="3"/>
  <c r="CM91" i="3"/>
  <c r="CN91" i="3"/>
  <c r="CK92" i="3"/>
  <c r="M91" i="13" s="1"/>
  <c r="CL92" i="3"/>
  <c r="CM92" i="3"/>
  <c r="CN92" i="3"/>
  <c r="CK93" i="3"/>
  <c r="CL93" i="3"/>
  <c r="CM93" i="3"/>
  <c r="CN93" i="3"/>
  <c r="CK94" i="3"/>
  <c r="M93" i="13" s="1"/>
  <c r="CL94" i="3"/>
  <c r="CM94" i="3"/>
  <c r="CN94" i="3"/>
  <c r="CK95" i="3"/>
  <c r="CL95" i="3"/>
  <c r="CM95" i="3"/>
  <c r="CN95" i="3"/>
  <c r="CK96" i="3"/>
  <c r="M95" i="13" s="1"/>
  <c r="CL96" i="3"/>
  <c r="CM96" i="3"/>
  <c r="CN96" i="3"/>
  <c r="CK97" i="3"/>
  <c r="CL97" i="3"/>
  <c r="CM97" i="3"/>
  <c r="CN97" i="3"/>
  <c r="CK98" i="3"/>
  <c r="M97" i="13" s="1"/>
  <c r="CL98" i="3"/>
  <c r="CM98" i="3"/>
  <c r="CN98" i="3"/>
  <c r="CK99" i="3"/>
  <c r="CL99" i="3"/>
  <c r="CM99" i="3"/>
  <c r="CN99" i="3"/>
  <c r="CK100" i="3"/>
  <c r="M99" i="13" s="1"/>
  <c r="CL100" i="3"/>
  <c r="CM100" i="3"/>
  <c r="CN100" i="3"/>
  <c r="CK101" i="3"/>
  <c r="M100" i="13" s="1"/>
  <c r="CL101" i="3"/>
  <c r="CM101" i="3"/>
  <c r="CN101" i="3"/>
  <c r="CK102" i="3"/>
  <c r="M101" i="13" s="1"/>
  <c r="CL102" i="3"/>
  <c r="CM102" i="3"/>
  <c r="CN102" i="3"/>
  <c r="CK103" i="3"/>
  <c r="CL103" i="3"/>
  <c r="CM103" i="3"/>
  <c r="CN103" i="3"/>
  <c r="CK104" i="3"/>
  <c r="M103" i="13" s="1"/>
  <c r="CL104" i="3"/>
  <c r="CM104" i="3"/>
  <c r="CN104" i="3"/>
  <c r="CK105" i="3"/>
  <c r="M104" i="13" s="1"/>
  <c r="CL105" i="3"/>
  <c r="CM105" i="3"/>
  <c r="CN105" i="3"/>
  <c r="CK106" i="3"/>
  <c r="M105" i="13" s="1"/>
  <c r="CL106" i="3"/>
  <c r="CM106" i="3"/>
  <c r="CN106" i="3"/>
  <c r="CK107" i="3"/>
  <c r="M106" i="13" s="1"/>
  <c r="CL107" i="3"/>
  <c r="CM107" i="3"/>
  <c r="CN107" i="3"/>
  <c r="CK108" i="3"/>
  <c r="M107" i="13" s="1"/>
  <c r="CL108" i="3"/>
  <c r="CM108" i="3"/>
  <c r="CN108" i="3"/>
  <c r="CK109" i="3"/>
  <c r="CL109" i="3"/>
  <c r="CM109" i="3"/>
  <c r="CN109" i="3"/>
  <c r="CK110" i="3"/>
  <c r="M109" i="13" s="1"/>
  <c r="CL110" i="3"/>
  <c r="CM110" i="3"/>
  <c r="CN110" i="3"/>
  <c r="CK111" i="3"/>
  <c r="M110" i="13" s="1"/>
  <c r="CL111" i="3"/>
  <c r="CM111" i="3"/>
  <c r="CN111" i="3"/>
  <c r="CK112" i="3"/>
  <c r="M111" i="13" s="1"/>
  <c r="CL112" i="3"/>
  <c r="CM112" i="3"/>
  <c r="CN112" i="3"/>
  <c r="CK113" i="3"/>
  <c r="M112" i="13" s="1"/>
  <c r="CL113" i="3"/>
  <c r="CM113" i="3"/>
  <c r="CN113" i="3"/>
  <c r="CK114" i="3"/>
  <c r="M113" i="13" s="1"/>
  <c r="CL114" i="3"/>
  <c r="CM114" i="3"/>
  <c r="CN114" i="3"/>
  <c r="CK115" i="3"/>
  <c r="M114" i="13" s="1"/>
  <c r="CL115" i="3"/>
  <c r="CM115" i="3"/>
  <c r="CN115" i="3"/>
  <c r="CK116" i="3"/>
  <c r="M115" i="13" s="1"/>
  <c r="CL116" i="3"/>
  <c r="CM116" i="3"/>
  <c r="CN116" i="3"/>
  <c r="CK117" i="3"/>
  <c r="M116" i="13" s="1"/>
  <c r="CL117" i="3"/>
  <c r="CM117" i="3"/>
  <c r="CN117" i="3"/>
  <c r="CK118" i="3"/>
  <c r="M117" i="13" s="1"/>
  <c r="CL118" i="3"/>
  <c r="CM118" i="3"/>
  <c r="CN118" i="3"/>
  <c r="CK119" i="3"/>
  <c r="M118" i="13" s="1"/>
  <c r="CL119" i="3"/>
  <c r="CM119" i="3"/>
  <c r="CN119" i="3"/>
  <c r="CK120" i="3"/>
  <c r="M119" i="13" s="1"/>
  <c r="CL120" i="3"/>
  <c r="CM120" i="3"/>
  <c r="CN120" i="3"/>
  <c r="CK121" i="3"/>
  <c r="M120" i="13" s="1"/>
  <c r="CL121" i="3"/>
  <c r="CM121" i="3"/>
  <c r="CN121" i="3"/>
  <c r="CK122" i="3"/>
  <c r="M121" i="13" s="1"/>
  <c r="CL122" i="3"/>
  <c r="CM122" i="3"/>
  <c r="CN122" i="3"/>
  <c r="CK123" i="3"/>
  <c r="M122" i="13" s="1"/>
  <c r="CL123" i="3"/>
  <c r="CM123" i="3"/>
  <c r="CN123" i="3"/>
  <c r="CK124" i="3"/>
  <c r="M123" i="13" s="1"/>
  <c r="CL124" i="3"/>
  <c r="CM124" i="3"/>
  <c r="CN124" i="3"/>
  <c r="CK125" i="3"/>
  <c r="CL125" i="3"/>
  <c r="CM125" i="3"/>
  <c r="CN125" i="3"/>
  <c r="CK126" i="3"/>
  <c r="M125" i="13" s="1"/>
  <c r="CL126" i="3"/>
  <c r="CM126" i="3"/>
  <c r="CN126" i="3"/>
  <c r="CK127" i="3"/>
  <c r="M126" i="13" s="1"/>
  <c r="CL127" i="3"/>
  <c r="CM127" i="3"/>
  <c r="CN127" i="3"/>
  <c r="CK128" i="3"/>
  <c r="M127" i="13" s="1"/>
  <c r="CL128" i="3"/>
  <c r="CM128" i="3"/>
  <c r="CN128" i="3"/>
  <c r="CK129" i="3"/>
  <c r="M128" i="13" s="1"/>
  <c r="CL129" i="3"/>
  <c r="CM129" i="3"/>
  <c r="CN129" i="3"/>
  <c r="CK130" i="3"/>
  <c r="M129" i="13" s="1"/>
  <c r="CL130" i="3"/>
  <c r="CM130" i="3"/>
  <c r="CN130" i="3"/>
  <c r="CK131" i="3"/>
  <c r="M130" i="13" s="1"/>
  <c r="CL131" i="3"/>
  <c r="CM131" i="3"/>
  <c r="CN131" i="3"/>
  <c r="CK132" i="3"/>
  <c r="M131" i="13" s="1"/>
  <c r="CL132" i="3"/>
  <c r="CM132" i="3"/>
  <c r="CN132" i="3"/>
  <c r="CK133" i="3"/>
  <c r="M132" i="13" s="1"/>
  <c r="CL133" i="3"/>
  <c r="CM133" i="3"/>
  <c r="CN133" i="3"/>
  <c r="CK134" i="3"/>
  <c r="M133" i="13" s="1"/>
  <c r="CL134" i="3"/>
  <c r="CM134" i="3"/>
  <c r="CN134" i="3"/>
  <c r="CK135" i="3"/>
  <c r="M134" i="13" s="1"/>
  <c r="CL135" i="3"/>
  <c r="CM135" i="3"/>
  <c r="CN135" i="3"/>
  <c r="CK136" i="3"/>
  <c r="M135" i="13" s="1"/>
  <c r="CL136" i="3"/>
  <c r="CM136" i="3"/>
  <c r="CN136" i="3"/>
  <c r="CK137" i="3"/>
  <c r="M136" i="13" s="1"/>
  <c r="CL137" i="3"/>
  <c r="CM137" i="3"/>
  <c r="CN137" i="3"/>
  <c r="CK138" i="3"/>
  <c r="M137" i="13" s="1"/>
  <c r="CL138" i="3"/>
  <c r="CM138" i="3"/>
  <c r="CN138" i="3"/>
  <c r="CK139" i="3"/>
  <c r="M138" i="13" s="1"/>
  <c r="CL139" i="3"/>
  <c r="CM139" i="3"/>
  <c r="CN139" i="3"/>
  <c r="CK140" i="3"/>
  <c r="M139" i="13" s="1"/>
  <c r="CL140" i="3"/>
  <c r="CM140" i="3"/>
  <c r="CN140" i="3"/>
  <c r="CK141" i="3"/>
  <c r="M140" i="13" s="1"/>
  <c r="CL141" i="3"/>
  <c r="CM141" i="3"/>
  <c r="CN141" i="3"/>
  <c r="CK142" i="3"/>
  <c r="M141" i="13" s="1"/>
  <c r="CL142" i="3"/>
  <c r="CM142" i="3"/>
  <c r="CN142" i="3"/>
  <c r="CK143" i="3"/>
  <c r="M142" i="13" s="1"/>
  <c r="CL143" i="3"/>
  <c r="CM143" i="3"/>
  <c r="CN143" i="3"/>
  <c r="CK144" i="3"/>
  <c r="M143" i="13" s="1"/>
  <c r="CL144" i="3"/>
  <c r="CM144" i="3"/>
  <c r="CN144" i="3"/>
  <c r="CK145" i="3"/>
  <c r="M144" i="13" s="1"/>
  <c r="CL145" i="3"/>
  <c r="CM145" i="3"/>
  <c r="CN145" i="3"/>
  <c r="CK146" i="3"/>
  <c r="M145" i="13" s="1"/>
  <c r="CL146" i="3"/>
  <c r="CM146" i="3"/>
  <c r="CN146" i="3"/>
  <c r="CK147" i="3"/>
  <c r="M146" i="13" s="1"/>
  <c r="CL147" i="3"/>
  <c r="CM147" i="3"/>
  <c r="CN147" i="3"/>
  <c r="CK148" i="3"/>
  <c r="M147" i="13" s="1"/>
  <c r="CL148" i="3"/>
  <c r="CM148" i="3"/>
  <c r="CN148" i="3"/>
  <c r="CK149" i="3"/>
  <c r="CL149" i="3"/>
  <c r="CM149" i="3"/>
  <c r="CN149" i="3"/>
  <c r="CK150" i="3"/>
  <c r="M149" i="13" s="1"/>
  <c r="CL150" i="3"/>
  <c r="CM150" i="3"/>
  <c r="CN150" i="3"/>
  <c r="CK151" i="3"/>
  <c r="M150" i="13" s="1"/>
  <c r="CL151" i="3"/>
  <c r="CM151" i="3"/>
  <c r="CN151" i="3"/>
  <c r="CK152" i="3"/>
  <c r="M151" i="13" s="1"/>
  <c r="CL152" i="3"/>
  <c r="CM152" i="3"/>
  <c r="CN152" i="3"/>
  <c r="CK153" i="3"/>
  <c r="M152" i="13" s="1"/>
  <c r="CL153" i="3"/>
  <c r="CM153" i="3"/>
  <c r="CN153" i="3"/>
  <c r="CK154" i="3"/>
  <c r="M153" i="13" s="1"/>
  <c r="CL154" i="3"/>
  <c r="CM154" i="3"/>
  <c r="CN154" i="3"/>
  <c r="CK155" i="3"/>
  <c r="M154" i="13" s="1"/>
  <c r="CL155" i="3"/>
  <c r="CM155" i="3"/>
  <c r="CN155" i="3"/>
  <c r="CK156" i="3"/>
  <c r="M155" i="13" s="1"/>
  <c r="CL156" i="3"/>
  <c r="CM156" i="3"/>
  <c r="CN156" i="3"/>
  <c r="CK157" i="3"/>
  <c r="M156" i="13" s="1"/>
  <c r="CL157" i="3"/>
  <c r="CM157" i="3"/>
  <c r="CN157" i="3"/>
  <c r="CK158" i="3"/>
  <c r="M157" i="13" s="1"/>
  <c r="CL158" i="3"/>
  <c r="CM158" i="3"/>
  <c r="CN158" i="3"/>
  <c r="CK159" i="3"/>
  <c r="M158" i="13" s="1"/>
  <c r="CL159" i="3"/>
  <c r="CM159" i="3"/>
  <c r="CN159" i="3"/>
  <c r="CK160" i="3"/>
  <c r="M159" i="13" s="1"/>
  <c r="CL160" i="3"/>
  <c r="CM160" i="3"/>
  <c r="CN160" i="3"/>
  <c r="CK161" i="3"/>
  <c r="M160" i="13" s="1"/>
  <c r="CL161" i="3"/>
  <c r="CM161" i="3"/>
  <c r="CN161" i="3"/>
  <c r="CK162" i="3"/>
  <c r="M161" i="13" s="1"/>
  <c r="CL162" i="3"/>
  <c r="CM162" i="3"/>
  <c r="CN162" i="3"/>
  <c r="CK163" i="3"/>
  <c r="M162" i="13" s="1"/>
  <c r="CL163" i="3"/>
  <c r="CM163" i="3"/>
  <c r="CN163" i="3"/>
  <c r="CK164" i="3"/>
  <c r="M163" i="13" s="1"/>
  <c r="CL164" i="3"/>
  <c r="CM164" i="3"/>
  <c r="CN164" i="3"/>
  <c r="CK165" i="3"/>
  <c r="M164" i="13" s="1"/>
  <c r="CL165" i="3"/>
  <c r="CM165" i="3"/>
  <c r="CN165" i="3"/>
  <c r="CK166" i="3"/>
  <c r="M165" i="13" s="1"/>
  <c r="CL166" i="3"/>
  <c r="CM166" i="3"/>
  <c r="CN166" i="3"/>
  <c r="CK167" i="3"/>
  <c r="M166" i="13" s="1"/>
  <c r="CL167" i="3"/>
  <c r="CM167" i="3"/>
  <c r="CN167" i="3"/>
  <c r="CK168" i="3"/>
  <c r="M167" i="13" s="1"/>
  <c r="CL168" i="3"/>
  <c r="CM168" i="3"/>
  <c r="CN168" i="3"/>
  <c r="CK169" i="3"/>
  <c r="M168" i="13" s="1"/>
  <c r="CL169" i="3"/>
  <c r="CM169" i="3"/>
  <c r="CN169" i="3"/>
  <c r="CK170" i="3"/>
  <c r="M169" i="13" s="1"/>
  <c r="CL170" i="3"/>
  <c r="CM170" i="3"/>
  <c r="CN170" i="3"/>
  <c r="CK171" i="3"/>
  <c r="M170" i="13" s="1"/>
  <c r="CL171" i="3"/>
  <c r="CM171" i="3"/>
  <c r="CN171" i="3"/>
  <c r="CK172" i="3"/>
  <c r="M171" i="13" s="1"/>
  <c r="CL172" i="3"/>
  <c r="CM172" i="3"/>
  <c r="CN172" i="3"/>
  <c r="CK173" i="3"/>
  <c r="M172" i="13" s="1"/>
  <c r="CL173" i="3"/>
  <c r="CM173" i="3"/>
  <c r="CN173" i="3"/>
  <c r="CK174" i="3"/>
  <c r="M173" i="13" s="1"/>
  <c r="CL174" i="3"/>
  <c r="CM174" i="3"/>
  <c r="CN174" i="3"/>
  <c r="CK175" i="3"/>
  <c r="M174" i="13" s="1"/>
  <c r="CL175" i="3"/>
  <c r="CM175" i="3"/>
  <c r="CN175" i="3"/>
  <c r="CK176" i="3"/>
  <c r="M175" i="13" s="1"/>
  <c r="CL176" i="3"/>
  <c r="CM176" i="3"/>
  <c r="CN176" i="3"/>
  <c r="CQ5" i="3"/>
  <c r="CR5" i="3"/>
  <c r="CQ6" i="3"/>
  <c r="CR6" i="3"/>
  <c r="CQ7" i="3"/>
  <c r="CR7" i="3"/>
  <c r="CQ8" i="3"/>
  <c r="CR8" i="3"/>
  <c r="CQ9" i="3"/>
  <c r="CR9" i="3"/>
  <c r="CQ10" i="3"/>
  <c r="CR10" i="3"/>
  <c r="CQ11" i="3"/>
  <c r="CR11" i="3"/>
  <c r="CQ12" i="3"/>
  <c r="CR12" i="3"/>
  <c r="CQ13" i="3"/>
  <c r="CR13" i="3"/>
  <c r="CQ14" i="3"/>
  <c r="CR14" i="3"/>
  <c r="CQ15" i="3"/>
  <c r="CR15" i="3"/>
  <c r="CQ16" i="3"/>
  <c r="CR16" i="3"/>
  <c r="CQ17" i="3"/>
  <c r="CR17" i="3"/>
  <c r="CQ18" i="3"/>
  <c r="CR18" i="3"/>
  <c r="CQ19" i="3"/>
  <c r="CR19" i="3"/>
  <c r="CQ20" i="3"/>
  <c r="CR20" i="3"/>
  <c r="CQ21" i="3"/>
  <c r="CR21" i="3"/>
  <c r="CQ22" i="3"/>
  <c r="CR22" i="3"/>
  <c r="CQ23" i="3"/>
  <c r="CR23" i="3"/>
  <c r="CQ24" i="3"/>
  <c r="CR24" i="3"/>
  <c r="CQ25" i="3"/>
  <c r="CR25" i="3"/>
  <c r="CQ26" i="3"/>
  <c r="CR26" i="3"/>
  <c r="CQ27" i="3"/>
  <c r="CR27" i="3"/>
  <c r="CQ28" i="3"/>
  <c r="CR28" i="3"/>
  <c r="CQ29" i="3"/>
  <c r="CR29" i="3"/>
  <c r="CQ30" i="3"/>
  <c r="CR30" i="3"/>
  <c r="CQ31" i="3"/>
  <c r="CR31" i="3"/>
  <c r="CQ32" i="3"/>
  <c r="CR32" i="3"/>
  <c r="CQ33" i="3"/>
  <c r="CR33" i="3"/>
  <c r="CQ34" i="3"/>
  <c r="CR34" i="3"/>
  <c r="CQ35" i="3"/>
  <c r="CR35" i="3"/>
  <c r="CQ36" i="3"/>
  <c r="CR36" i="3"/>
  <c r="CQ37" i="3"/>
  <c r="CR37" i="3"/>
  <c r="CQ38" i="3"/>
  <c r="CR38" i="3"/>
  <c r="CQ39" i="3"/>
  <c r="CR39" i="3"/>
  <c r="CQ40" i="3"/>
  <c r="CR40" i="3"/>
  <c r="CQ41" i="3"/>
  <c r="CR41" i="3"/>
  <c r="CQ42" i="3"/>
  <c r="CR42" i="3"/>
  <c r="CQ43" i="3"/>
  <c r="CR43" i="3"/>
  <c r="CQ44" i="3"/>
  <c r="CR44" i="3"/>
  <c r="CQ45" i="3"/>
  <c r="CR45" i="3"/>
  <c r="CQ46" i="3"/>
  <c r="CR46" i="3"/>
  <c r="CQ47" i="3"/>
  <c r="CR47" i="3"/>
  <c r="CQ48" i="3"/>
  <c r="CR48" i="3"/>
  <c r="CQ49" i="3"/>
  <c r="CR49" i="3"/>
  <c r="CQ50" i="3"/>
  <c r="CR50" i="3"/>
  <c r="CQ51" i="3"/>
  <c r="CR51" i="3"/>
  <c r="CQ52" i="3"/>
  <c r="CR52" i="3"/>
  <c r="CQ53" i="3"/>
  <c r="CR53" i="3"/>
  <c r="CQ54" i="3"/>
  <c r="CR54" i="3"/>
  <c r="CQ55" i="3"/>
  <c r="CR55" i="3"/>
  <c r="CQ56" i="3"/>
  <c r="CR56" i="3"/>
  <c r="CQ57" i="3"/>
  <c r="CR57" i="3"/>
  <c r="CQ58" i="3"/>
  <c r="CR58" i="3"/>
  <c r="CQ59" i="3"/>
  <c r="CR59" i="3"/>
  <c r="CQ60" i="3"/>
  <c r="CR60" i="3"/>
  <c r="CQ61" i="3"/>
  <c r="CR61" i="3"/>
  <c r="CQ62" i="3"/>
  <c r="CR62" i="3"/>
  <c r="CQ63" i="3"/>
  <c r="CR63" i="3"/>
  <c r="CQ64" i="3"/>
  <c r="CR64" i="3"/>
  <c r="CQ65" i="3"/>
  <c r="CR65" i="3"/>
  <c r="CQ66" i="3"/>
  <c r="CR66" i="3"/>
  <c r="CQ67" i="3"/>
  <c r="CR67" i="3"/>
  <c r="CQ68" i="3"/>
  <c r="CR68" i="3"/>
  <c r="CQ69" i="3"/>
  <c r="CR69" i="3"/>
  <c r="CQ70" i="3"/>
  <c r="CR70" i="3"/>
  <c r="CQ71" i="3"/>
  <c r="CR71" i="3"/>
  <c r="CQ72" i="3"/>
  <c r="CR72" i="3"/>
  <c r="CQ73" i="3"/>
  <c r="CR73" i="3"/>
  <c r="CQ74" i="3"/>
  <c r="CR74" i="3"/>
  <c r="CQ75" i="3"/>
  <c r="CR75" i="3"/>
  <c r="CQ76" i="3"/>
  <c r="CR76" i="3"/>
  <c r="CQ77" i="3"/>
  <c r="CR77" i="3"/>
  <c r="CQ78" i="3"/>
  <c r="CR78" i="3"/>
  <c r="CQ79" i="3"/>
  <c r="CR79" i="3"/>
  <c r="CQ80" i="3"/>
  <c r="CR80" i="3"/>
  <c r="CQ81" i="3"/>
  <c r="CR81" i="3"/>
  <c r="CQ82" i="3"/>
  <c r="CR82" i="3"/>
  <c r="CQ83" i="3"/>
  <c r="CR83" i="3"/>
  <c r="CQ84" i="3"/>
  <c r="CR84" i="3"/>
  <c r="CQ85" i="3"/>
  <c r="CR85" i="3"/>
  <c r="CQ86" i="3"/>
  <c r="CR86" i="3"/>
  <c r="CQ87" i="3"/>
  <c r="CR87" i="3"/>
  <c r="CQ88" i="3"/>
  <c r="CR88" i="3"/>
  <c r="CQ89" i="3"/>
  <c r="CR89" i="3"/>
  <c r="CQ90" i="3"/>
  <c r="CR90" i="3"/>
  <c r="CQ91" i="3"/>
  <c r="CR91" i="3"/>
  <c r="CQ92" i="3"/>
  <c r="CR92" i="3"/>
  <c r="CQ93" i="3"/>
  <c r="CR93" i="3"/>
  <c r="CQ94" i="3"/>
  <c r="CR94" i="3"/>
  <c r="CQ95" i="3"/>
  <c r="CR95" i="3"/>
  <c r="CQ96" i="3"/>
  <c r="CR96" i="3"/>
  <c r="CQ97" i="3"/>
  <c r="CR97" i="3"/>
  <c r="CQ98" i="3"/>
  <c r="CR98" i="3"/>
  <c r="CQ99" i="3"/>
  <c r="CR99" i="3"/>
  <c r="CQ100" i="3"/>
  <c r="CR100" i="3"/>
  <c r="CQ101" i="3"/>
  <c r="CR101" i="3"/>
  <c r="CQ102" i="3"/>
  <c r="CR102" i="3"/>
  <c r="CQ103" i="3"/>
  <c r="CR103" i="3"/>
  <c r="CQ104" i="3"/>
  <c r="CR104" i="3"/>
  <c r="CQ105" i="3"/>
  <c r="CR105" i="3"/>
  <c r="CQ106" i="3"/>
  <c r="CR106" i="3"/>
  <c r="CQ107" i="3"/>
  <c r="CR107" i="3"/>
  <c r="CQ108" i="3"/>
  <c r="CR108" i="3"/>
  <c r="CQ109" i="3"/>
  <c r="CR109" i="3"/>
  <c r="CQ110" i="3"/>
  <c r="CR110" i="3"/>
  <c r="CQ111" i="3"/>
  <c r="CR111" i="3"/>
  <c r="CQ112" i="3"/>
  <c r="CR112" i="3"/>
  <c r="CQ113" i="3"/>
  <c r="CR113" i="3"/>
  <c r="CQ114" i="3"/>
  <c r="CR114" i="3"/>
  <c r="CQ115" i="3"/>
  <c r="CR115" i="3"/>
  <c r="CQ116" i="3"/>
  <c r="CR116" i="3"/>
  <c r="CQ117" i="3"/>
  <c r="CR117" i="3"/>
  <c r="CQ118" i="3"/>
  <c r="CR118" i="3"/>
  <c r="CQ119" i="3"/>
  <c r="CR119" i="3"/>
  <c r="CQ120" i="3"/>
  <c r="CR120" i="3"/>
  <c r="CQ121" i="3"/>
  <c r="CR121" i="3"/>
  <c r="CQ122" i="3"/>
  <c r="CR122" i="3"/>
  <c r="CQ123" i="3"/>
  <c r="CR123" i="3"/>
  <c r="CQ124" i="3"/>
  <c r="CR124" i="3"/>
  <c r="CQ125" i="3"/>
  <c r="CR125" i="3"/>
  <c r="CQ126" i="3"/>
  <c r="CR126" i="3"/>
  <c r="CQ127" i="3"/>
  <c r="CR127" i="3"/>
  <c r="CQ128" i="3"/>
  <c r="CR128" i="3"/>
  <c r="CQ129" i="3"/>
  <c r="CR129" i="3"/>
  <c r="CQ130" i="3"/>
  <c r="CR130" i="3"/>
  <c r="CQ131" i="3"/>
  <c r="CR131" i="3"/>
  <c r="CQ132" i="3"/>
  <c r="CR132" i="3"/>
  <c r="CQ133" i="3"/>
  <c r="CR133" i="3"/>
  <c r="CQ134" i="3"/>
  <c r="CR134" i="3"/>
  <c r="CQ135" i="3"/>
  <c r="CR135" i="3"/>
  <c r="CQ136" i="3"/>
  <c r="CR136" i="3"/>
  <c r="CQ137" i="3"/>
  <c r="CR137" i="3"/>
  <c r="CQ138" i="3"/>
  <c r="CR138" i="3"/>
  <c r="CQ139" i="3"/>
  <c r="CR139" i="3"/>
  <c r="CQ140" i="3"/>
  <c r="CR140" i="3"/>
  <c r="CQ141" i="3"/>
  <c r="CR141" i="3"/>
  <c r="CQ142" i="3"/>
  <c r="CR142" i="3"/>
  <c r="CQ143" i="3"/>
  <c r="CR143" i="3"/>
  <c r="CQ144" i="3"/>
  <c r="CR144" i="3"/>
  <c r="CQ145" i="3"/>
  <c r="CR145" i="3"/>
  <c r="CQ146" i="3"/>
  <c r="CR146" i="3"/>
  <c r="CQ147" i="3"/>
  <c r="CR147" i="3"/>
  <c r="CQ148" i="3"/>
  <c r="CR148" i="3"/>
  <c r="CQ149" i="3"/>
  <c r="CR149" i="3"/>
  <c r="CQ150" i="3"/>
  <c r="CR150" i="3"/>
  <c r="CQ151" i="3"/>
  <c r="CR151" i="3"/>
  <c r="CQ152" i="3"/>
  <c r="CR152" i="3"/>
  <c r="CQ153" i="3"/>
  <c r="CR153" i="3"/>
  <c r="CQ154" i="3"/>
  <c r="CR154" i="3"/>
  <c r="CQ155" i="3"/>
  <c r="CR155" i="3"/>
  <c r="CQ156" i="3"/>
  <c r="CR156" i="3"/>
  <c r="CQ157" i="3"/>
  <c r="CR157" i="3"/>
  <c r="CQ158" i="3"/>
  <c r="CR158" i="3"/>
  <c r="CQ159" i="3"/>
  <c r="CR159" i="3"/>
  <c r="CQ160" i="3"/>
  <c r="CR160" i="3"/>
  <c r="CQ161" i="3"/>
  <c r="CR161" i="3"/>
  <c r="CQ162" i="3"/>
  <c r="CR162" i="3"/>
  <c r="CQ163" i="3"/>
  <c r="CR163" i="3"/>
  <c r="CQ164" i="3"/>
  <c r="CR164" i="3"/>
  <c r="CQ165" i="3"/>
  <c r="CR165" i="3"/>
  <c r="CQ166" i="3"/>
  <c r="CR166" i="3"/>
  <c r="CQ167" i="3"/>
  <c r="CR167" i="3"/>
  <c r="CQ168" i="3"/>
  <c r="CR168" i="3"/>
  <c r="CQ169" i="3"/>
  <c r="CR169" i="3"/>
  <c r="CQ170" i="3"/>
  <c r="CR170" i="3"/>
  <c r="CQ171" i="3"/>
  <c r="CR171" i="3"/>
  <c r="CQ172" i="3"/>
  <c r="CR172" i="3"/>
  <c r="CQ173" i="3"/>
  <c r="CR173" i="3"/>
  <c r="CQ174" i="3"/>
  <c r="CR174" i="3"/>
  <c r="CQ175" i="3"/>
  <c r="CR175" i="3"/>
  <c r="CQ176" i="3"/>
  <c r="CR176" i="3"/>
  <c r="CR4" i="3"/>
  <c r="CQ4" i="3"/>
  <c r="CN4" i="3"/>
  <c r="CM4" i="3"/>
  <c r="CK4" i="3"/>
  <c r="M3" i="13" s="1"/>
  <c r="CL4" i="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80" i="13"/>
  <c r="M82" i="13"/>
  <c r="M83" i="13"/>
  <c r="M84" i="13"/>
  <c r="M86" i="13"/>
  <c r="M88" i="13"/>
  <c r="M90" i="13"/>
  <c r="M92" i="13"/>
  <c r="M94" i="13"/>
  <c r="M96" i="13"/>
  <c r="M98" i="13"/>
  <c r="M102" i="13"/>
  <c r="M108" i="13"/>
  <c r="M124" i="13"/>
  <c r="M148" i="13"/>
  <c r="R161" i="13"/>
  <c r="R162" i="13"/>
  <c r="R163" i="13"/>
  <c r="R164" i="13"/>
  <c r="R165" i="13"/>
  <c r="P161" i="13"/>
  <c r="P162" i="13"/>
  <c r="P163" i="13"/>
  <c r="P164" i="13"/>
  <c r="P165" i="13"/>
  <c r="G177" i="13"/>
  <c r="E177" i="13"/>
  <c r="D177" i="13"/>
  <c r="K175" i="13"/>
  <c r="F175" i="13"/>
  <c r="A175" i="13"/>
  <c r="B175" i="13" s="1"/>
  <c r="K174" i="13"/>
  <c r="F174" i="13"/>
  <c r="A174" i="13"/>
  <c r="B174" i="13" s="1"/>
  <c r="K173" i="13"/>
  <c r="F173" i="13"/>
  <c r="A173" i="13"/>
  <c r="B173" i="13" s="1"/>
  <c r="K172" i="13"/>
  <c r="F172" i="13"/>
  <c r="A172" i="13"/>
  <c r="B172" i="13" s="1"/>
  <c r="K171" i="13"/>
  <c r="F171" i="13"/>
  <c r="A171" i="13"/>
  <c r="B171" i="13" s="1"/>
  <c r="K170" i="13"/>
  <c r="F170" i="13"/>
  <c r="A170" i="13"/>
  <c r="B170" i="13" s="1"/>
  <c r="K169" i="13"/>
  <c r="F169" i="13"/>
  <c r="A169" i="13"/>
  <c r="B169" i="13" s="1"/>
  <c r="K168" i="13"/>
  <c r="F168" i="13"/>
  <c r="A168" i="13"/>
  <c r="B168" i="13" s="1"/>
  <c r="K167" i="13"/>
  <c r="F167" i="13"/>
  <c r="A167" i="13"/>
  <c r="B167" i="13" s="1"/>
  <c r="K166" i="13"/>
  <c r="F166" i="13"/>
  <c r="A166" i="13"/>
  <c r="B166" i="13" s="1"/>
  <c r="K165" i="13"/>
  <c r="B165" i="13"/>
  <c r="K164" i="13"/>
  <c r="B164" i="13"/>
  <c r="K163" i="13"/>
  <c r="B163" i="13"/>
  <c r="K162" i="13"/>
  <c r="B162" i="13"/>
  <c r="K161" i="13"/>
  <c r="B161" i="13"/>
  <c r="K160" i="13"/>
  <c r="F160" i="13"/>
  <c r="A160" i="13"/>
  <c r="B160" i="13" s="1"/>
  <c r="K159" i="13"/>
  <c r="F159" i="13"/>
  <c r="A159" i="13"/>
  <c r="B159" i="13" s="1"/>
  <c r="K158" i="13"/>
  <c r="F158" i="13"/>
  <c r="A158" i="13"/>
  <c r="B158" i="13" s="1"/>
  <c r="K157" i="13"/>
  <c r="F157" i="13"/>
  <c r="A157" i="13"/>
  <c r="B157" i="13" s="1"/>
  <c r="K156" i="13"/>
  <c r="F156" i="13"/>
  <c r="A156" i="13"/>
  <c r="B156" i="13" s="1"/>
  <c r="K155" i="13"/>
  <c r="F155" i="13"/>
  <c r="A155" i="13"/>
  <c r="B155" i="13" s="1"/>
  <c r="K154" i="13"/>
  <c r="F154" i="13"/>
  <c r="A154" i="13"/>
  <c r="B154" i="13" s="1"/>
  <c r="K153" i="13"/>
  <c r="F153" i="13"/>
  <c r="A153" i="13"/>
  <c r="B153" i="13" s="1"/>
  <c r="K152" i="13"/>
  <c r="F152" i="13"/>
  <c r="O152" i="13" s="1"/>
  <c r="A152" i="13"/>
  <c r="B152" i="13" s="1"/>
  <c r="K151" i="13"/>
  <c r="F151" i="13"/>
  <c r="O151" i="13" s="1"/>
  <c r="A151" i="13"/>
  <c r="B151" i="13" s="1"/>
  <c r="K150" i="13"/>
  <c r="F150" i="13"/>
  <c r="O150" i="13" s="1"/>
  <c r="A150" i="13"/>
  <c r="B150" i="13" s="1"/>
  <c r="K149" i="13"/>
  <c r="F149" i="13"/>
  <c r="O149" i="13" s="1"/>
  <c r="A149" i="13"/>
  <c r="B149" i="13" s="1"/>
  <c r="K148" i="13"/>
  <c r="F148" i="13"/>
  <c r="O148" i="13" s="1"/>
  <c r="A148" i="13"/>
  <c r="B148" i="13" s="1"/>
  <c r="K147" i="13"/>
  <c r="F147" i="13"/>
  <c r="O147" i="13" s="1"/>
  <c r="A147" i="13"/>
  <c r="B147" i="13" s="1"/>
  <c r="K146" i="13"/>
  <c r="F146" i="13"/>
  <c r="O146" i="13" s="1"/>
  <c r="A146" i="13"/>
  <c r="B146" i="13" s="1"/>
  <c r="K145" i="13"/>
  <c r="F145" i="13"/>
  <c r="O145" i="13" s="1"/>
  <c r="A145" i="13"/>
  <c r="B145" i="13" s="1"/>
  <c r="K144" i="13"/>
  <c r="F144" i="13"/>
  <c r="A144" i="13"/>
  <c r="B144" i="13" s="1"/>
  <c r="K143" i="13"/>
  <c r="F143" i="13"/>
  <c r="O143" i="13" s="1"/>
  <c r="A143" i="13"/>
  <c r="B143" i="13" s="1"/>
  <c r="K142" i="13"/>
  <c r="F142" i="13"/>
  <c r="A142" i="13"/>
  <c r="B142" i="13" s="1"/>
  <c r="K141" i="13"/>
  <c r="F141" i="13"/>
  <c r="A141" i="13"/>
  <c r="B141" i="13" s="1"/>
  <c r="K140" i="13"/>
  <c r="F140" i="13"/>
  <c r="O140" i="13" s="1"/>
  <c r="A140" i="13"/>
  <c r="B140" i="13" s="1"/>
  <c r="K139" i="13"/>
  <c r="F139" i="13"/>
  <c r="A139" i="13"/>
  <c r="B139" i="13" s="1"/>
  <c r="K138" i="13"/>
  <c r="F138" i="13"/>
  <c r="O138" i="13" s="1"/>
  <c r="A138" i="13"/>
  <c r="B138" i="13" s="1"/>
  <c r="K137" i="13"/>
  <c r="F137" i="13"/>
  <c r="O137" i="13" s="1"/>
  <c r="A137" i="13"/>
  <c r="B137" i="13" s="1"/>
  <c r="K136" i="13"/>
  <c r="F136" i="13"/>
  <c r="A136" i="13"/>
  <c r="B136" i="13" s="1"/>
  <c r="K135" i="13"/>
  <c r="F135" i="13"/>
  <c r="O135" i="13" s="1"/>
  <c r="A135" i="13"/>
  <c r="B135" i="13" s="1"/>
  <c r="K134" i="13"/>
  <c r="F134" i="13"/>
  <c r="A134" i="13"/>
  <c r="B134" i="13" s="1"/>
  <c r="K133" i="13"/>
  <c r="F133" i="13"/>
  <c r="O133" i="13" s="1"/>
  <c r="A133" i="13"/>
  <c r="B133" i="13" s="1"/>
  <c r="K132" i="13"/>
  <c r="F132" i="13"/>
  <c r="A132" i="13"/>
  <c r="B132" i="13" s="1"/>
  <c r="K131" i="13"/>
  <c r="F131" i="13"/>
  <c r="O131" i="13" s="1"/>
  <c r="A131" i="13"/>
  <c r="B131" i="13" s="1"/>
  <c r="K130" i="13"/>
  <c r="F130" i="13"/>
  <c r="A130" i="13"/>
  <c r="B130" i="13" s="1"/>
  <c r="K129" i="13"/>
  <c r="F129" i="13"/>
  <c r="O129" i="13" s="1"/>
  <c r="A129" i="13"/>
  <c r="B129" i="13" s="1"/>
  <c r="K128" i="13"/>
  <c r="F128" i="13"/>
  <c r="A128" i="13"/>
  <c r="B128" i="13" s="1"/>
  <c r="K127" i="13"/>
  <c r="F127" i="13"/>
  <c r="O127" i="13" s="1"/>
  <c r="A127" i="13"/>
  <c r="B127" i="13" s="1"/>
  <c r="K126" i="13"/>
  <c r="F126" i="13"/>
  <c r="A126" i="13"/>
  <c r="B126" i="13" s="1"/>
  <c r="K125" i="13"/>
  <c r="F125" i="13"/>
  <c r="O125" i="13" s="1"/>
  <c r="A125" i="13"/>
  <c r="B125" i="13" s="1"/>
  <c r="K124" i="13"/>
  <c r="F124" i="13"/>
  <c r="A124" i="13"/>
  <c r="B124" i="13" s="1"/>
  <c r="K123" i="13"/>
  <c r="F123" i="13"/>
  <c r="O123" i="13" s="1"/>
  <c r="A123" i="13"/>
  <c r="B123" i="13" s="1"/>
  <c r="K122" i="13"/>
  <c r="F122" i="13"/>
  <c r="O122" i="13" s="1"/>
  <c r="A122" i="13"/>
  <c r="B122" i="13" s="1"/>
  <c r="K121" i="13"/>
  <c r="F121" i="13"/>
  <c r="A121" i="13"/>
  <c r="B121" i="13" s="1"/>
  <c r="K120" i="13"/>
  <c r="F120" i="13"/>
  <c r="A120" i="13"/>
  <c r="B120" i="13" s="1"/>
  <c r="K119" i="13"/>
  <c r="F119" i="13"/>
  <c r="A119" i="13"/>
  <c r="B119" i="13" s="1"/>
  <c r="K118" i="13"/>
  <c r="F118" i="13"/>
  <c r="A118" i="13"/>
  <c r="B118" i="13" s="1"/>
  <c r="K117" i="13"/>
  <c r="F117" i="13"/>
  <c r="A117" i="13"/>
  <c r="B117" i="13" s="1"/>
  <c r="K116" i="13"/>
  <c r="F116" i="13"/>
  <c r="A116" i="13"/>
  <c r="B116" i="13" s="1"/>
  <c r="K115" i="13"/>
  <c r="F115" i="13"/>
  <c r="A115" i="13"/>
  <c r="B115" i="13" s="1"/>
  <c r="K114" i="13"/>
  <c r="F114" i="13"/>
  <c r="A114" i="13"/>
  <c r="B114" i="13" s="1"/>
  <c r="K113" i="13"/>
  <c r="F113" i="13"/>
  <c r="A113" i="13"/>
  <c r="B113" i="13" s="1"/>
  <c r="K112" i="13"/>
  <c r="F112" i="13"/>
  <c r="A112" i="13"/>
  <c r="B112" i="13" s="1"/>
  <c r="K111" i="13"/>
  <c r="F111" i="13"/>
  <c r="A111" i="13"/>
  <c r="B111" i="13" s="1"/>
  <c r="K110" i="13"/>
  <c r="F110" i="13"/>
  <c r="A110" i="13"/>
  <c r="B110" i="13" s="1"/>
  <c r="K109" i="13"/>
  <c r="F109" i="13"/>
  <c r="A109" i="13"/>
  <c r="B109" i="13" s="1"/>
  <c r="K108" i="13"/>
  <c r="F108" i="13"/>
  <c r="A108" i="13"/>
  <c r="B108" i="13" s="1"/>
  <c r="K107" i="13"/>
  <c r="F107" i="13"/>
  <c r="A107" i="13"/>
  <c r="B107" i="13" s="1"/>
  <c r="K106" i="13"/>
  <c r="F106" i="13"/>
  <c r="A106" i="13"/>
  <c r="B106" i="13" s="1"/>
  <c r="K105" i="13"/>
  <c r="F105" i="13"/>
  <c r="A105" i="13"/>
  <c r="B105" i="13" s="1"/>
  <c r="K104" i="13"/>
  <c r="F104" i="13"/>
  <c r="A104" i="13"/>
  <c r="B104" i="13" s="1"/>
  <c r="K103" i="13"/>
  <c r="F103" i="13"/>
  <c r="A103" i="13"/>
  <c r="B103" i="13" s="1"/>
  <c r="K102" i="13"/>
  <c r="F102" i="13"/>
  <c r="A102" i="13"/>
  <c r="B102" i="13" s="1"/>
  <c r="K101" i="13"/>
  <c r="F101" i="13"/>
  <c r="A101" i="13"/>
  <c r="B101" i="13" s="1"/>
  <c r="K100" i="13"/>
  <c r="F100" i="13"/>
  <c r="A100" i="13"/>
  <c r="B100" i="13" s="1"/>
  <c r="K99" i="13"/>
  <c r="F99" i="13"/>
  <c r="A99" i="13"/>
  <c r="B99" i="13" s="1"/>
  <c r="K98" i="13"/>
  <c r="F98" i="13"/>
  <c r="A98" i="13"/>
  <c r="B98" i="13" s="1"/>
  <c r="K97" i="13"/>
  <c r="F97" i="13"/>
  <c r="A97" i="13"/>
  <c r="B97" i="13" s="1"/>
  <c r="K96" i="13"/>
  <c r="F96" i="13"/>
  <c r="O96" i="13" s="1"/>
  <c r="A96" i="13"/>
  <c r="B96" i="13" s="1"/>
  <c r="K95" i="13"/>
  <c r="F95" i="13"/>
  <c r="A95" i="13"/>
  <c r="B95" i="13" s="1"/>
  <c r="K94" i="13"/>
  <c r="F94" i="13"/>
  <c r="A94" i="13"/>
  <c r="B94" i="13" s="1"/>
  <c r="K93" i="13"/>
  <c r="F93" i="13"/>
  <c r="A93" i="13"/>
  <c r="B93" i="13" s="1"/>
  <c r="K92" i="13"/>
  <c r="F92" i="13"/>
  <c r="A92" i="13"/>
  <c r="B92" i="13" s="1"/>
  <c r="K91" i="13"/>
  <c r="F91" i="13"/>
  <c r="A91" i="13"/>
  <c r="B91" i="13" s="1"/>
  <c r="K90" i="13"/>
  <c r="F90" i="13"/>
  <c r="O90" i="13" s="1"/>
  <c r="A90" i="13"/>
  <c r="B90" i="13" s="1"/>
  <c r="K89" i="13"/>
  <c r="F89" i="13"/>
  <c r="A89" i="13"/>
  <c r="B89" i="13" s="1"/>
  <c r="K88" i="13"/>
  <c r="F88" i="13"/>
  <c r="A88" i="13"/>
  <c r="B88" i="13" s="1"/>
  <c r="K87" i="13"/>
  <c r="F87" i="13"/>
  <c r="A87" i="13"/>
  <c r="B87" i="13" s="1"/>
  <c r="K86" i="13"/>
  <c r="F86" i="13"/>
  <c r="O86" i="13" s="1"/>
  <c r="A86" i="13"/>
  <c r="B86" i="13" s="1"/>
  <c r="K85" i="13"/>
  <c r="F85" i="13"/>
  <c r="O85" i="13" s="1"/>
  <c r="A85" i="13"/>
  <c r="B85" i="13" s="1"/>
  <c r="K84" i="13"/>
  <c r="F84" i="13"/>
  <c r="O84" i="13" s="1"/>
  <c r="A84" i="13"/>
  <c r="B84" i="13" s="1"/>
  <c r="K83" i="13"/>
  <c r="F83" i="13"/>
  <c r="A83" i="13"/>
  <c r="B83" i="13" s="1"/>
  <c r="K82" i="13"/>
  <c r="F82" i="13"/>
  <c r="A82" i="13"/>
  <c r="B82" i="13" s="1"/>
  <c r="K81" i="13"/>
  <c r="F81" i="13"/>
  <c r="O81" i="13" s="1"/>
  <c r="A81" i="13"/>
  <c r="B81" i="13" s="1"/>
  <c r="K80" i="13"/>
  <c r="F80" i="13"/>
  <c r="O80" i="13" s="1"/>
  <c r="A80" i="13"/>
  <c r="B80" i="13" s="1"/>
  <c r="K79" i="13"/>
  <c r="F79" i="13"/>
  <c r="O79" i="13" s="1"/>
  <c r="A79" i="13"/>
  <c r="B79" i="13" s="1"/>
  <c r="K78" i="13"/>
  <c r="F78" i="13"/>
  <c r="A78" i="13"/>
  <c r="B78" i="13" s="1"/>
  <c r="K77" i="13"/>
  <c r="F77" i="13"/>
  <c r="O77" i="13" s="1"/>
  <c r="A77" i="13"/>
  <c r="B77" i="13" s="1"/>
  <c r="K76" i="13"/>
  <c r="F76" i="13"/>
  <c r="O76" i="13" s="1"/>
  <c r="A76" i="13"/>
  <c r="B76" i="13" s="1"/>
  <c r="K75" i="13"/>
  <c r="F75" i="13"/>
  <c r="A75" i="13"/>
  <c r="B75" i="13" s="1"/>
  <c r="K74" i="13"/>
  <c r="F74" i="13"/>
  <c r="A74" i="13"/>
  <c r="B74" i="13" s="1"/>
  <c r="K73" i="13"/>
  <c r="F73" i="13"/>
  <c r="O73" i="13" s="1"/>
  <c r="A73" i="13"/>
  <c r="B73" i="13" s="1"/>
  <c r="K72" i="13"/>
  <c r="F72" i="13"/>
  <c r="O72" i="13" s="1"/>
  <c r="A72" i="13"/>
  <c r="B72" i="13" s="1"/>
  <c r="K71" i="13"/>
  <c r="F71" i="13"/>
  <c r="A71" i="13"/>
  <c r="B71" i="13" s="1"/>
  <c r="K70" i="13"/>
  <c r="F70" i="13"/>
  <c r="O70" i="13" s="1"/>
  <c r="A70" i="13"/>
  <c r="B70" i="13" s="1"/>
  <c r="K69" i="13"/>
  <c r="F69" i="13"/>
  <c r="O69" i="13" s="1"/>
  <c r="A69" i="13"/>
  <c r="B69" i="13" s="1"/>
  <c r="K68" i="13"/>
  <c r="F68" i="13"/>
  <c r="A68" i="13"/>
  <c r="B68" i="13" s="1"/>
  <c r="K67" i="13"/>
  <c r="F67" i="13"/>
  <c r="A67" i="13"/>
  <c r="B67" i="13" s="1"/>
  <c r="K66" i="13"/>
  <c r="F66" i="13"/>
  <c r="A66" i="13"/>
  <c r="B66" i="13" s="1"/>
  <c r="K65" i="13"/>
  <c r="F65" i="13"/>
  <c r="A65" i="13"/>
  <c r="B65" i="13" s="1"/>
  <c r="K64" i="13"/>
  <c r="F64" i="13"/>
  <c r="O64" i="13" s="1"/>
  <c r="A64" i="13"/>
  <c r="B64" i="13" s="1"/>
  <c r="K63" i="13"/>
  <c r="F63" i="13"/>
  <c r="O63" i="13" s="1"/>
  <c r="A63" i="13"/>
  <c r="B63" i="13" s="1"/>
  <c r="K62" i="13"/>
  <c r="F62" i="13"/>
  <c r="A62" i="13"/>
  <c r="B62" i="13" s="1"/>
  <c r="K61" i="13"/>
  <c r="F61" i="13"/>
  <c r="A61" i="13"/>
  <c r="B61" i="13" s="1"/>
  <c r="K60" i="13"/>
  <c r="F60" i="13"/>
  <c r="A60" i="13"/>
  <c r="B60" i="13" s="1"/>
  <c r="K59" i="13"/>
  <c r="F59" i="13"/>
  <c r="A59" i="13"/>
  <c r="B59" i="13" s="1"/>
  <c r="K58" i="13"/>
  <c r="F58" i="13"/>
  <c r="A58" i="13"/>
  <c r="B58" i="13" s="1"/>
  <c r="K57" i="13"/>
  <c r="F57" i="13"/>
  <c r="A57" i="13"/>
  <c r="B57" i="13" s="1"/>
  <c r="K56" i="13"/>
  <c r="F56" i="13"/>
  <c r="A56" i="13"/>
  <c r="B56" i="13" s="1"/>
  <c r="K55" i="13"/>
  <c r="F55" i="13"/>
  <c r="A55" i="13"/>
  <c r="B55" i="13" s="1"/>
  <c r="K54" i="13"/>
  <c r="F54" i="13"/>
  <c r="A54" i="13"/>
  <c r="B54" i="13" s="1"/>
  <c r="K53" i="13"/>
  <c r="F53" i="13"/>
  <c r="A53" i="13"/>
  <c r="B53" i="13" s="1"/>
  <c r="K52" i="13"/>
  <c r="F52" i="13"/>
  <c r="A52" i="13"/>
  <c r="B52" i="13" s="1"/>
  <c r="K51" i="13"/>
  <c r="F51" i="13"/>
  <c r="A51" i="13"/>
  <c r="B51" i="13" s="1"/>
  <c r="K50" i="13"/>
  <c r="F50" i="13"/>
  <c r="A50" i="13"/>
  <c r="B50" i="13" s="1"/>
  <c r="K49" i="13"/>
  <c r="F49" i="13"/>
  <c r="A49" i="13"/>
  <c r="B49" i="13" s="1"/>
  <c r="K48" i="13"/>
  <c r="F48" i="13"/>
  <c r="A48" i="13"/>
  <c r="B48" i="13" s="1"/>
  <c r="K47" i="13"/>
  <c r="F47" i="13"/>
  <c r="A47" i="13"/>
  <c r="B47" i="13" s="1"/>
  <c r="K46" i="13"/>
  <c r="F46" i="13"/>
  <c r="A46" i="13"/>
  <c r="B46" i="13" s="1"/>
  <c r="K45" i="13"/>
  <c r="F45" i="13"/>
  <c r="A45" i="13"/>
  <c r="B45" i="13" s="1"/>
  <c r="K44" i="13"/>
  <c r="F44" i="13"/>
  <c r="A44" i="13"/>
  <c r="B44" i="13" s="1"/>
  <c r="K43" i="13"/>
  <c r="F43" i="13"/>
  <c r="A43" i="13"/>
  <c r="B43" i="13" s="1"/>
  <c r="K42" i="13"/>
  <c r="F42" i="13"/>
  <c r="A42" i="13"/>
  <c r="B42" i="13" s="1"/>
  <c r="K41" i="13"/>
  <c r="F41" i="13"/>
  <c r="O41" i="13" s="1"/>
  <c r="A41" i="13"/>
  <c r="B41" i="13" s="1"/>
  <c r="K40" i="13"/>
  <c r="F40" i="13"/>
  <c r="A40" i="13"/>
  <c r="B40" i="13" s="1"/>
  <c r="K39" i="13"/>
  <c r="F39" i="13"/>
  <c r="A39" i="13"/>
  <c r="B39" i="13" s="1"/>
  <c r="K38" i="13"/>
  <c r="F38" i="13"/>
  <c r="A38" i="13"/>
  <c r="B38" i="13" s="1"/>
  <c r="K37" i="13"/>
  <c r="F37" i="13"/>
  <c r="O37" i="13" s="1"/>
  <c r="A37" i="13"/>
  <c r="B37" i="13" s="1"/>
  <c r="K36" i="13"/>
  <c r="F36" i="13"/>
  <c r="A36" i="13"/>
  <c r="B36" i="13" s="1"/>
  <c r="K35" i="13"/>
  <c r="F35" i="13"/>
  <c r="A35" i="13"/>
  <c r="B35" i="13" s="1"/>
  <c r="K34" i="13"/>
  <c r="F34" i="13"/>
  <c r="A34" i="13"/>
  <c r="B34" i="13" s="1"/>
  <c r="K33" i="13"/>
  <c r="F33" i="13"/>
  <c r="O33" i="13" s="1"/>
  <c r="A33" i="13"/>
  <c r="B33" i="13" s="1"/>
  <c r="K32" i="13"/>
  <c r="F32" i="13"/>
  <c r="A32" i="13"/>
  <c r="B32" i="13" s="1"/>
  <c r="K31" i="13"/>
  <c r="F31" i="13"/>
  <c r="O31" i="13" s="1"/>
  <c r="A31" i="13"/>
  <c r="B31" i="13" s="1"/>
  <c r="K30" i="13"/>
  <c r="F30" i="13"/>
  <c r="A30" i="13"/>
  <c r="B30" i="13" s="1"/>
  <c r="K29" i="13"/>
  <c r="F29" i="13"/>
  <c r="O29" i="13" s="1"/>
  <c r="A29" i="13"/>
  <c r="B29" i="13" s="1"/>
  <c r="K28" i="13"/>
  <c r="F28" i="13"/>
  <c r="A28" i="13"/>
  <c r="B28" i="13" s="1"/>
  <c r="K27" i="13"/>
  <c r="F27" i="13"/>
  <c r="A27" i="13"/>
  <c r="B27" i="13" s="1"/>
  <c r="K26" i="13"/>
  <c r="F26" i="13"/>
  <c r="O26" i="13" s="1"/>
  <c r="A26" i="13"/>
  <c r="B26" i="13" s="1"/>
  <c r="K25" i="13"/>
  <c r="F25" i="13"/>
  <c r="A25" i="13"/>
  <c r="B25" i="13" s="1"/>
  <c r="K24" i="13"/>
  <c r="F24" i="13"/>
  <c r="A24" i="13"/>
  <c r="B24" i="13" s="1"/>
  <c r="K23" i="13"/>
  <c r="F23" i="13"/>
  <c r="A23" i="13"/>
  <c r="B23" i="13" s="1"/>
  <c r="K22" i="13"/>
  <c r="F22" i="13"/>
  <c r="A22" i="13"/>
  <c r="B22" i="13" s="1"/>
  <c r="K21" i="13"/>
  <c r="F21" i="13"/>
  <c r="A21" i="13"/>
  <c r="B21" i="13" s="1"/>
  <c r="K20" i="13"/>
  <c r="F20" i="13"/>
  <c r="A20" i="13"/>
  <c r="B20" i="13" s="1"/>
  <c r="K19" i="13"/>
  <c r="F19" i="13"/>
  <c r="A19" i="13"/>
  <c r="B19" i="13" s="1"/>
  <c r="K18" i="13"/>
  <c r="F18" i="13"/>
  <c r="A18" i="13"/>
  <c r="B18" i="13" s="1"/>
  <c r="K17" i="13"/>
  <c r="F17" i="13"/>
  <c r="A17" i="13"/>
  <c r="B17" i="13" s="1"/>
  <c r="K16" i="13"/>
  <c r="F16" i="13"/>
  <c r="A16" i="13"/>
  <c r="B16" i="13" s="1"/>
  <c r="K15" i="13"/>
  <c r="F15" i="13"/>
  <c r="A15" i="13"/>
  <c r="B15" i="13" s="1"/>
  <c r="K14" i="13"/>
  <c r="F14" i="13"/>
  <c r="A14" i="13"/>
  <c r="B14" i="13" s="1"/>
  <c r="K13" i="13"/>
  <c r="F13" i="13"/>
  <c r="A13" i="13"/>
  <c r="B13" i="13" s="1"/>
  <c r="K12" i="13"/>
  <c r="F12" i="13"/>
  <c r="A12" i="13"/>
  <c r="B12" i="13" s="1"/>
  <c r="K11" i="13"/>
  <c r="F11" i="13"/>
  <c r="A11" i="13"/>
  <c r="B11" i="13" s="1"/>
  <c r="K10" i="13"/>
  <c r="F10" i="13"/>
  <c r="A10" i="13"/>
  <c r="B10" i="13" s="1"/>
  <c r="K9" i="13"/>
  <c r="F9" i="13"/>
  <c r="A9" i="13"/>
  <c r="B9" i="13" s="1"/>
  <c r="K8" i="13"/>
  <c r="F8" i="13"/>
  <c r="A8" i="13"/>
  <c r="B8" i="13" s="1"/>
  <c r="K7" i="13"/>
  <c r="F7" i="13"/>
  <c r="A7" i="13"/>
  <c r="B7" i="13" s="1"/>
  <c r="K6" i="13"/>
  <c r="F6" i="13"/>
  <c r="A6" i="13"/>
  <c r="B6" i="13" s="1"/>
  <c r="K5" i="13"/>
  <c r="F5" i="13"/>
  <c r="A5" i="13"/>
  <c r="B5" i="13" s="1"/>
  <c r="K4" i="13"/>
  <c r="F4" i="13"/>
  <c r="A4" i="13"/>
  <c r="B4" i="13" s="1"/>
  <c r="K3" i="13"/>
  <c r="F3" i="13"/>
  <c r="A3" i="13"/>
  <c r="B3" i="13" s="1"/>
  <c r="H9" i="13" l="1"/>
  <c r="O9" i="13"/>
  <c r="H17" i="13"/>
  <c r="P17" i="13" s="1"/>
  <c r="Q17" i="13" s="1"/>
  <c r="O17" i="13"/>
  <c r="H25" i="13"/>
  <c r="O25" i="13"/>
  <c r="H49" i="13"/>
  <c r="P49" i="13" s="1"/>
  <c r="Q49" i="13" s="1"/>
  <c r="O49" i="13"/>
  <c r="H65" i="13"/>
  <c r="O65" i="13"/>
  <c r="H97" i="13"/>
  <c r="P97" i="13" s="1"/>
  <c r="Q97" i="13" s="1"/>
  <c r="O97" i="13"/>
  <c r="H10" i="13"/>
  <c r="P10" i="13" s="1"/>
  <c r="Q10" i="13" s="1"/>
  <c r="O10" i="13"/>
  <c r="H18" i="13"/>
  <c r="P18" i="13" s="1"/>
  <c r="Q18" i="13" s="1"/>
  <c r="O18" i="13"/>
  <c r="H11" i="13"/>
  <c r="P11" i="13" s="1"/>
  <c r="Q11" i="13" s="1"/>
  <c r="O11" i="13"/>
  <c r="H6" i="13"/>
  <c r="O6" i="13"/>
  <c r="H14" i="13"/>
  <c r="P14" i="13" s="1"/>
  <c r="Q14" i="13" s="1"/>
  <c r="O14" i="13"/>
  <c r="H22" i="13"/>
  <c r="P22" i="13" s="1"/>
  <c r="Q22" i="13" s="1"/>
  <c r="O22" i="13"/>
  <c r="H30" i="13"/>
  <c r="P30" i="13" s="1"/>
  <c r="Q30" i="13" s="1"/>
  <c r="O30" i="13"/>
  <c r="H38" i="13"/>
  <c r="P38" i="13" s="1"/>
  <c r="Q38" i="13" s="1"/>
  <c r="O38" i="13"/>
  <c r="H46" i="13"/>
  <c r="P46" i="13" s="1"/>
  <c r="Q46" i="13" s="1"/>
  <c r="O46" i="13"/>
  <c r="H54" i="13"/>
  <c r="P54" i="13" s="1"/>
  <c r="Q54" i="13" s="1"/>
  <c r="O54" i="13"/>
  <c r="H62" i="13"/>
  <c r="O62" i="13"/>
  <c r="H78" i="13"/>
  <c r="P78" i="13" s="1"/>
  <c r="Q78" i="13" s="1"/>
  <c r="O78" i="13"/>
  <c r="H94" i="13"/>
  <c r="O94" i="13"/>
  <c r="H102" i="13"/>
  <c r="P102" i="13" s="1"/>
  <c r="Q102" i="13" s="1"/>
  <c r="O102" i="13"/>
  <c r="H110" i="13"/>
  <c r="O110" i="13"/>
  <c r="H118" i="13"/>
  <c r="P118" i="13" s="1"/>
  <c r="Q118" i="13" s="1"/>
  <c r="O118" i="13"/>
  <c r="H126" i="13"/>
  <c r="P126" i="13" s="1"/>
  <c r="Q126" i="13" s="1"/>
  <c r="O126" i="13"/>
  <c r="H134" i="13"/>
  <c r="P134" i="13" s="1"/>
  <c r="Q134" i="13" s="1"/>
  <c r="O134" i="13"/>
  <c r="H142" i="13"/>
  <c r="O142" i="13"/>
  <c r="H158" i="13"/>
  <c r="P158" i="13" s="1"/>
  <c r="Q158" i="13" s="1"/>
  <c r="O158" i="13"/>
  <c r="H173" i="13"/>
  <c r="O173" i="13"/>
  <c r="H89" i="13"/>
  <c r="P89" i="13" s="1"/>
  <c r="Q89" i="13" s="1"/>
  <c r="O89" i="13"/>
  <c r="H4" i="13"/>
  <c r="O4" i="13"/>
  <c r="H28" i="13"/>
  <c r="P28" i="13" s="1"/>
  <c r="Q28" i="13" s="1"/>
  <c r="O28" i="13"/>
  <c r="H36" i="13"/>
  <c r="O36" i="13"/>
  <c r="H44" i="13"/>
  <c r="P44" i="13" s="1"/>
  <c r="Q44" i="13" s="1"/>
  <c r="O44" i="13"/>
  <c r="H52" i="13"/>
  <c r="O52" i="13"/>
  <c r="H60" i="13"/>
  <c r="P60" i="13" s="1"/>
  <c r="Q60" i="13" s="1"/>
  <c r="O60" i="13"/>
  <c r="H68" i="13"/>
  <c r="O68" i="13"/>
  <c r="H92" i="13"/>
  <c r="P92" i="13" s="1"/>
  <c r="Q92" i="13" s="1"/>
  <c r="O92" i="13"/>
  <c r="H100" i="13"/>
  <c r="P100" i="13" s="1"/>
  <c r="Q100" i="13" s="1"/>
  <c r="O100" i="13"/>
  <c r="H108" i="13"/>
  <c r="P108" i="13" s="1"/>
  <c r="Q108" i="13" s="1"/>
  <c r="O108" i="13"/>
  <c r="H116" i="13"/>
  <c r="O116" i="13"/>
  <c r="H124" i="13"/>
  <c r="P124" i="13" s="1"/>
  <c r="Q124" i="13" s="1"/>
  <c r="O124" i="13"/>
  <c r="H132" i="13"/>
  <c r="P132" i="13" s="1"/>
  <c r="Q132" i="13" s="1"/>
  <c r="O132" i="13"/>
  <c r="H156" i="13"/>
  <c r="P156" i="13" s="1"/>
  <c r="Q156" i="13" s="1"/>
  <c r="O156" i="13"/>
  <c r="H171" i="13"/>
  <c r="O171" i="13"/>
  <c r="H57" i="13"/>
  <c r="P57" i="13" s="1"/>
  <c r="Q57" i="13" s="1"/>
  <c r="O57" i="13"/>
  <c r="H105" i="13"/>
  <c r="O105" i="13"/>
  <c r="H12" i="13"/>
  <c r="P12" i="13" s="1"/>
  <c r="Q12" i="13" s="1"/>
  <c r="O12" i="13"/>
  <c r="H20" i="13"/>
  <c r="P20" i="13" s="1"/>
  <c r="Q20" i="13" s="1"/>
  <c r="O20" i="13"/>
  <c r="H7" i="13"/>
  <c r="P7" i="13" s="1"/>
  <c r="Q7" i="13" s="1"/>
  <c r="O7" i="13"/>
  <c r="H15" i="13"/>
  <c r="O15" i="13"/>
  <c r="H23" i="13"/>
  <c r="P23" i="13" s="1"/>
  <c r="Q23" i="13" s="1"/>
  <c r="O23" i="13"/>
  <c r="H39" i="13"/>
  <c r="O39" i="13"/>
  <c r="H47" i="13"/>
  <c r="P47" i="13" s="1"/>
  <c r="Q47" i="13" s="1"/>
  <c r="O47" i="13"/>
  <c r="H55" i="13"/>
  <c r="O55" i="13"/>
  <c r="H71" i="13"/>
  <c r="P71" i="13" s="1"/>
  <c r="Q71" i="13" s="1"/>
  <c r="O71" i="13"/>
  <c r="H87" i="13"/>
  <c r="O87" i="13"/>
  <c r="H95" i="13"/>
  <c r="P95" i="13" s="1"/>
  <c r="Q95" i="13" s="1"/>
  <c r="O95" i="13"/>
  <c r="H103" i="13"/>
  <c r="O103" i="13"/>
  <c r="H111" i="13"/>
  <c r="P111" i="13" s="1"/>
  <c r="Q111" i="13" s="1"/>
  <c r="O111" i="13"/>
  <c r="H119" i="13"/>
  <c r="O119" i="13"/>
  <c r="H159" i="13"/>
  <c r="P159" i="13" s="1"/>
  <c r="Q159" i="13" s="1"/>
  <c r="O159" i="13"/>
  <c r="H166" i="13"/>
  <c r="O166" i="13"/>
  <c r="H174" i="13"/>
  <c r="P174" i="13" s="1"/>
  <c r="Q174" i="13" s="1"/>
  <c r="O174" i="13"/>
  <c r="H113" i="13"/>
  <c r="P113" i="13" s="1"/>
  <c r="Q113" i="13" s="1"/>
  <c r="O113" i="13"/>
  <c r="H34" i="13"/>
  <c r="P34" i="13" s="1"/>
  <c r="Q34" i="13" s="1"/>
  <c r="O34" i="13"/>
  <c r="H42" i="13"/>
  <c r="O42" i="13"/>
  <c r="H50" i="13"/>
  <c r="P50" i="13" s="1"/>
  <c r="Q50" i="13" s="1"/>
  <c r="O50" i="13"/>
  <c r="H58" i="13"/>
  <c r="O58" i="13"/>
  <c r="H66" i="13"/>
  <c r="P66" i="13" s="1"/>
  <c r="Q66" i="13" s="1"/>
  <c r="O66" i="13"/>
  <c r="H74" i="13"/>
  <c r="O74" i="13"/>
  <c r="H82" i="13"/>
  <c r="P82" i="13" s="1"/>
  <c r="Q82" i="13" s="1"/>
  <c r="O82" i="13"/>
  <c r="H98" i="13"/>
  <c r="P98" i="13" s="1"/>
  <c r="Q98" i="13" s="1"/>
  <c r="O98" i="13"/>
  <c r="H106" i="13"/>
  <c r="P106" i="13" s="1"/>
  <c r="Q106" i="13" s="1"/>
  <c r="O106" i="13"/>
  <c r="H114" i="13"/>
  <c r="O114" i="13"/>
  <c r="H130" i="13"/>
  <c r="P130" i="13" s="1"/>
  <c r="Q130" i="13" s="1"/>
  <c r="O130" i="13"/>
  <c r="H154" i="13"/>
  <c r="O154" i="13"/>
  <c r="H169" i="13"/>
  <c r="P169" i="13" s="1"/>
  <c r="Q169" i="13" s="1"/>
  <c r="O169" i="13"/>
  <c r="H13" i="13"/>
  <c r="O13" i="13"/>
  <c r="H21" i="13"/>
  <c r="P21" i="13" s="1"/>
  <c r="Q21" i="13" s="1"/>
  <c r="O21" i="13"/>
  <c r="H45" i="13"/>
  <c r="P45" i="13" s="1"/>
  <c r="Q45" i="13" s="1"/>
  <c r="O45" i="13"/>
  <c r="H53" i="13"/>
  <c r="P53" i="13" s="1"/>
  <c r="Q53" i="13" s="1"/>
  <c r="O53" i="13"/>
  <c r="H61" i="13"/>
  <c r="O61" i="13"/>
  <c r="H93" i="13"/>
  <c r="P93" i="13" s="1"/>
  <c r="Q93" i="13" s="1"/>
  <c r="O93" i="13"/>
  <c r="H101" i="13"/>
  <c r="O101" i="13"/>
  <c r="H109" i="13"/>
  <c r="P109" i="13" s="1"/>
  <c r="Q109" i="13" s="1"/>
  <c r="O109" i="13"/>
  <c r="H117" i="13"/>
  <c r="P117" i="13" s="1"/>
  <c r="Q117" i="13" s="1"/>
  <c r="O117" i="13"/>
  <c r="H141" i="13"/>
  <c r="P141" i="13" s="1"/>
  <c r="Q141" i="13" s="1"/>
  <c r="O141" i="13"/>
  <c r="H157" i="13"/>
  <c r="O157" i="13"/>
  <c r="H172" i="13"/>
  <c r="P172" i="13" s="1"/>
  <c r="Q172" i="13" s="1"/>
  <c r="O172" i="13"/>
  <c r="H121" i="13"/>
  <c r="O121" i="13"/>
  <c r="H153" i="13"/>
  <c r="P153" i="13" s="1"/>
  <c r="Q153" i="13" s="1"/>
  <c r="O153" i="13"/>
  <c r="H168" i="13"/>
  <c r="O168" i="13"/>
  <c r="H8" i="13"/>
  <c r="P8" i="13" s="1"/>
  <c r="Q8" i="13" s="1"/>
  <c r="O8" i="13"/>
  <c r="H16" i="13"/>
  <c r="O16" i="13"/>
  <c r="H24" i="13"/>
  <c r="P24" i="13" s="1"/>
  <c r="Q24" i="13" s="1"/>
  <c r="O24" i="13"/>
  <c r="H32" i="13"/>
  <c r="O32" i="13"/>
  <c r="H40" i="13"/>
  <c r="P40" i="13" s="1"/>
  <c r="Q40" i="13" s="1"/>
  <c r="O40" i="13"/>
  <c r="H48" i="13"/>
  <c r="O48" i="13"/>
  <c r="H56" i="13"/>
  <c r="P56" i="13" s="1"/>
  <c r="Q56" i="13" s="1"/>
  <c r="O56" i="13"/>
  <c r="H88" i="13"/>
  <c r="P88" i="13" s="1"/>
  <c r="Q88" i="13" s="1"/>
  <c r="O88" i="13"/>
  <c r="H104" i="13"/>
  <c r="P104" i="13" s="1"/>
  <c r="Q104" i="13" s="1"/>
  <c r="O104" i="13"/>
  <c r="H112" i="13"/>
  <c r="O112" i="13"/>
  <c r="H120" i="13"/>
  <c r="P120" i="13" s="1"/>
  <c r="Q120" i="13" s="1"/>
  <c r="O120" i="13"/>
  <c r="H128" i="13"/>
  <c r="O128" i="13"/>
  <c r="H136" i="13"/>
  <c r="P136" i="13" s="1"/>
  <c r="Q136" i="13" s="1"/>
  <c r="O136" i="13"/>
  <c r="H144" i="13"/>
  <c r="O144" i="13"/>
  <c r="H160" i="13"/>
  <c r="P160" i="13" s="1"/>
  <c r="Q160" i="13" s="1"/>
  <c r="O160" i="13"/>
  <c r="H167" i="13"/>
  <c r="P167" i="13" s="1"/>
  <c r="Q167" i="13" s="1"/>
  <c r="O167" i="13"/>
  <c r="H175" i="13"/>
  <c r="P175" i="13" s="1"/>
  <c r="Q175" i="13" s="1"/>
  <c r="O175" i="13"/>
  <c r="H5" i="13"/>
  <c r="P5" i="13" s="1"/>
  <c r="Q5" i="13" s="1"/>
  <c r="O5" i="13"/>
  <c r="H3" i="13"/>
  <c r="P3" i="13" s="1"/>
  <c r="Q3" i="13" s="1"/>
  <c r="O3" i="13"/>
  <c r="H19" i="13"/>
  <c r="O19" i="13"/>
  <c r="H27" i="13"/>
  <c r="P27" i="13" s="1"/>
  <c r="Q27" i="13" s="1"/>
  <c r="O27" i="13"/>
  <c r="H35" i="13"/>
  <c r="P35" i="13" s="1"/>
  <c r="Q35" i="13" s="1"/>
  <c r="O35" i="13"/>
  <c r="H43" i="13"/>
  <c r="O43" i="13"/>
  <c r="H51" i="13"/>
  <c r="O51" i="13"/>
  <c r="H59" i="13"/>
  <c r="P59" i="13" s="1"/>
  <c r="Q59" i="13" s="1"/>
  <c r="O59" i="13"/>
  <c r="H67" i="13"/>
  <c r="P67" i="13" s="1"/>
  <c r="Q67" i="13" s="1"/>
  <c r="O67" i="13"/>
  <c r="H75" i="13"/>
  <c r="P75" i="13" s="1"/>
  <c r="Q75" i="13" s="1"/>
  <c r="O75" i="13"/>
  <c r="H83" i="13"/>
  <c r="O83" i="13"/>
  <c r="H91" i="13"/>
  <c r="P91" i="13" s="1"/>
  <c r="Q91" i="13" s="1"/>
  <c r="O91" i="13"/>
  <c r="H99" i="13"/>
  <c r="O99" i="13"/>
  <c r="H107" i="13"/>
  <c r="P107" i="13" s="1"/>
  <c r="Q107" i="13" s="1"/>
  <c r="O107" i="13"/>
  <c r="H115" i="13"/>
  <c r="O115" i="13"/>
  <c r="H139" i="13"/>
  <c r="P139" i="13" s="1"/>
  <c r="Q139" i="13" s="1"/>
  <c r="O139" i="13"/>
  <c r="H155" i="13"/>
  <c r="O155" i="13"/>
  <c r="H170" i="13"/>
  <c r="P170" i="13" s="1"/>
  <c r="Q170" i="13" s="1"/>
  <c r="O170" i="13"/>
  <c r="P105" i="13"/>
  <c r="Q105" i="13" s="1"/>
  <c r="P142" i="13"/>
  <c r="Q142" i="13" s="1"/>
  <c r="P173" i="13"/>
  <c r="Q173" i="13" s="1"/>
  <c r="P36" i="13"/>
  <c r="Q36" i="13" s="1"/>
  <c r="P116" i="13"/>
  <c r="Q116" i="13" s="1"/>
  <c r="P171" i="13"/>
  <c r="Q171" i="13" s="1"/>
  <c r="P15" i="13"/>
  <c r="Q15" i="13" s="1"/>
  <c r="P87" i="13"/>
  <c r="Q87" i="13" s="1"/>
  <c r="P103" i="13"/>
  <c r="Q103" i="13" s="1"/>
  <c r="P119" i="13"/>
  <c r="Q119" i="13" s="1"/>
  <c r="P166" i="13"/>
  <c r="Q166" i="13" s="1"/>
  <c r="P55" i="13"/>
  <c r="Q55" i="13" s="1"/>
  <c r="P42" i="13"/>
  <c r="Q42" i="13" s="1"/>
  <c r="P114" i="13"/>
  <c r="Q114" i="13" s="1"/>
  <c r="P154" i="13"/>
  <c r="Q154" i="13" s="1"/>
  <c r="P61" i="13"/>
  <c r="Q61" i="13" s="1"/>
  <c r="P101" i="13"/>
  <c r="Q101" i="13" s="1"/>
  <c r="P25" i="13"/>
  <c r="Q25" i="13" s="1"/>
  <c r="P65" i="13"/>
  <c r="Q65" i="13" s="1"/>
  <c r="P121" i="13"/>
  <c r="Q121" i="13" s="1"/>
  <c r="P13" i="13"/>
  <c r="Q13" i="13" s="1"/>
  <c r="P16" i="13"/>
  <c r="Q16" i="13" s="1"/>
  <c r="P32" i="13"/>
  <c r="Q32" i="13" s="1"/>
  <c r="P48" i="13"/>
  <c r="Q48" i="13" s="1"/>
  <c r="P112" i="13"/>
  <c r="Q112" i="13" s="1"/>
  <c r="P128" i="13"/>
  <c r="Q128" i="13" s="1"/>
  <c r="P144" i="13"/>
  <c r="Q144" i="13" s="1"/>
  <c r="P9" i="13"/>
  <c r="Q9" i="13" s="1"/>
  <c r="P19" i="13"/>
  <c r="Q19" i="13" s="1"/>
  <c r="P83" i="13"/>
  <c r="Q83" i="13" s="1"/>
  <c r="P99" i="13"/>
  <c r="Q99" i="13" s="1"/>
  <c r="P115" i="13"/>
  <c r="Q115" i="13" s="1"/>
  <c r="Q163" i="13"/>
  <c r="Q161" i="13"/>
  <c r="Q165" i="13"/>
  <c r="P58" i="13"/>
  <c r="Q58" i="13" s="1"/>
  <c r="P4" i="13"/>
  <c r="Q4" i="13" s="1"/>
  <c r="P157" i="13"/>
  <c r="Q157" i="13" s="1"/>
  <c r="P168" i="13"/>
  <c r="Q168" i="13" s="1"/>
  <c r="P68" i="13"/>
  <c r="Q68" i="13" s="1"/>
  <c r="P155" i="13"/>
  <c r="Q155" i="13" s="1"/>
  <c r="P52" i="13"/>
  <c r="Q52" i="13" s="1"/>
  <c r="P74" i="13"/>
  <c r="Q74" i="13" s="1"/>
  <c r="P39" i="13"/>
  <c r="Q39" i="13" s="1"/>
  <c r="P6" i="13"/>
  <c r="Q6" i="13" s="1"/>
  <c r="P62" i="13"/>
  <c r="Q62" i="13" s="1"/>
  <c r="P94" i="13"/>
  <c r="Q94" i="13" s="1"/>
  <c r="P110" i="13"/>
  <c r="Q110" i="13" s="1"/>
  <c r="P43" i="13"/>
  <c r="Q43" i="13" s="1"/>
  <c r="P51" i="13"/>
  <c r="Q51" i="13" s="1"/>
  <c r="Q164" i="13"/>
  <c r="M177" i="13"/>
  <c r="Q162" i="13"/>
  <c r="K177" i="13"/>
  <c r="H26" i="13"/>
  <c r="H29" i="13"/>
  <c r="H33" i="13"/>
  <c r="H37" i="13"/>
  <c r="H69" i="13"/>
  <c r="H70" i="13"/>
  <c r="H72" i="13"/>
  <c r="H73" i="13"/>
  <c r="H81" i="13"/>
  <c r="H31" i="13"/>
  <c r="H64" i="13"/>
  <c r="F177" i="13"/>
  <c r="I8" i="13" s="1"/>
  <c r="H41" i="13"/>
  <c r="H63" i="13"/>
  <c r="H77" i="13"/>
  <c r="H79" i="13"/>
  <c r="H96" i="13"/>
  <c r="H85" i="13"/>
  <c r="H86" i="13"/>
  <c r="H76" i="13"/>
  <c r="H80" i="13"/>
  <c r="H84" i="13"/>
  <c r="H90" i="13"/>
  <c r="H123" i="13"/>
  <c r="H125" i="13"/>
  <c r="H122" i="13"/>
  <c r="H127" i="13"/>
  <c r="H140" i="13"/>
  <c r="H146" i="13"/>
  <c r="H145" i="13"/>
  <c r="H138" i="13"/>
  <c r="H129" i="13"/>
  <c r="H131" i="13"/>
  <c r="H133" i="13"/>
  <c r="H135" i="13"/>
  <c r="H137" i="13"/>
  <c r="H147" i="13"/>
  <c r="H152" i="13"/>
  <c r="H151" i="13"/>
  <c r="H150" i="13"/>
  <c r="H143" i="13"/>
  <c r="H149" i="13"/>
  <c r="H148" i="13"/>
  <c r="F13" i="2"/>
  <c r="M3" i="12"/>
  <c r="H4" i="5"/>
  <c r="I4" i="5"/>
  <c r="R4" i="5" s="1"/>
  <c r="A4" i="5"/>
  <c r="B4" i="5"/>
  <c r="H5" i="5"/>
  <c r="I5" i="5"/>
  <c r="R5" i="5"/>
  <c r="A5" i="5"/>
  <c r="B5" i="5" s="1"/>
  <c r="H6" i="5"/>
  <c r="I6" i="5"/>
  <c r="R6" i="5" s="1"/>
  <c r="A6" i="5"/>
  <c r="B6" i="5"/>
  <c r="H7" i="5"/>
  <c r="I7" i="5"/>
  <c r="R7" i="5"/>
  <c r="A7" i="5"/>
  <c r="B7" i="5" s="1"/>
  <c r="H8" i="5"/>
  <c r="I8" i="5"/>
  <c r="R8" i="5" s="1"/>
  <c r="A8" i="5"/>
  <c r="B8" i="5"/>
  <c r="H9" i="5"/>
  <c r="I9" i="5"/>
  <c r="R9" i="5" s="1"/>
  <c r="A9" i="5"/>
  <c r="B9" i="5"/>
  <c r="H10" i="5"/>
  <c r="I10" i="5"/>
  <c r="R10" i="5" s="1"/>
  <c r="A10" i="5"/>
  <c r="B10" i="5" s="1"/>
  <c r="H11" i="5"/>
  <c r="I11" i="5"/>
  <c r="R11" i="5" s="1"/>
  <c r="A11" i="5"/>
  <c r="B11" i="5" s="1"/>
  <c r="H12" i="5"/>
  <c r="I12" i="5"/>
  <c r="R12" i="5" s="1"/>
  <c r="A12" i="5"/>
  <c r="B12" i="5" s="1"/>
  <c r="H13" i="5"/>
  <c r="I13" i="5"/>
  <c r="R13" i="5" s="1"/>
  <c r="A13" i="5"/>
  <c r="B13" i="5" s="1"/>
  <c r="H14" i="5"/>
  <c r="I14" i="5"/>
  <c r="R14" i="5"/>
  <c r="A14" i="5"/>
  <c r="B14" i="5" s="1"/>
  <c r="H15" i="5"/>
  <c r="I15" i="5"/>
  <c r="R15" i="5" s="1"/>
  <c r="A15" i="5"/>
  <c r="B15" i="5" s="1"/>
  <c r="H16" i="5"/>
  <c r="I16" i="5"/>
  <c r="R16" i="5" s="1"/>
  <c r="A16" i="5"/>
  <c r="B16" i="5"/>
  <c r="H17" i="5"/>
  <c r="I17" i="5"/>
  <c r="R17" i="5" s="1"/>
  <c r="A17" i="5"/>
  <c r="B17" i="5" s="1"/>
  <c r="H18" i="5"/>
  <c r="I18" i="5"/>
  <c r="R18" i="5" s="1"/>
  <c r="A18" i="5"/>
  <c r="B18" i="5" s="1"/>
  <c r="H19" i="5"/>
  <c r="I19" i="5"/>
  <c r="R19" i="5" s="1"/>
  <c r="A19" i="5"/>
  <c r="B19" i="5"/>
  <c r="H20" i="5"/>
  <c r="I20" i="5"/>
  <c r="R20" i="5" s="1"/>
  <c r="A20" i="5"/>
  <c r="B20" i="5" s="1"/>
  <c r="H21" i="5"/>
  <c r="I21" i="5"/>
  <c r="R21" i="5" s="1"/>
  <c r="A21" i="5"/>
  <c r="B21" i="5" s="1"/>
  <c r="H22" i="5"/>
  <c r="I22" i="5"/>
  <c r="R22" i="5" s="1"/>
  <c r="J22" i="5"/>
  <c r="S22" i="5" s="1"/>
  <c r="A22" i="5"/>
  <c r="B22" i="5" s="1"/>
  <c r="H23" i="5"/>
  <c r="I23" i="5"/>
  <c r="R23" i="5" s="1"/>
  <c r="A23" i="5"/>
  <c r="B23" i="5" s="1"/>
  <c r="H24" i="5"/>
  <c r="I24" i="5"/>
  <c r="R24" i="5" s="1"/>
  <c r="A24" i="5"/>
  <c r="B24" i="5" s="1"/>
  <c r="H25" i="5"/>
  <c r="I25" i="5"/>
  <c r="R25" i="5" s="1"/>
  <c r="A25" i="5"/>
  <c r="B25" i="5" s="1"/>
  <c r="H26" i="5"/>
  <c r="I26" i="5"/>
  <c r="R26" i="5" s="1"/>
  <c r="A26" i="5"/>
  <c r="B26" i="5" s="1"/>
  <c r="H27" i="5"/>
  <c r="I27" i="5"/>
  <c r="R27" i="5"/>
  <c r="A27" i="5"/>
  <c r="B27" i="5" s="1"/>
  <c r="H28" i="5"/>
  <c r="I28" i="5"/>
  <c r="R28" i="5" s="1"/>
  <c r="A28" i="5"/>
  <c r="B28" i="5" s="1"/>
  <c r="H29" i="5"/>
  <c r="I29" i="5"/>
  <c r="R29" i="5" s="1"/>
  <c r="A29" i="5"/>
  <c r="B29" i="5" s="1"/>
  <c r="H30" i="5"/>
  <c r="I30" i="5"/>
  <c r="R30" i="5" s="1"/>
  <c r="A30" i="5"/>
  <c r="B30" i="5" s="1"/>
  <c r="H31" i="5"/>
  <c r="I31" i="5"/>
  <c r="R31" i="5" s="1"/>
  <c r="A31" i="5"/>
  <c r="B31" i="5" s="1"/>
  <c r="H32" i="5"/>
  <c r="I32" i="5"/>
  <c r="R32" i="5" s="1"/>
  <c r="A32" i="5"/>
  <c r="B32" i="5" s="1"/>
  <c r="H33" i="5"/>
  <c r="I33" i="5"/>
  <c r="R33" i="5" s="1"/>
  <c r="A33" i="5"/>
  <c r="B33" i="5"/>
  <c r="H34" i="5"/>
  <c r="I34" i="5"/>
  <c r="R34" i="5" s="1"/>
  <c r="A34" i="5"/>
  <c r="B34" i="5"/>
  <c r="H35" i="5"/>
  <c r="I35" i="5"/>
  <c r="R35" i="5" s="1"/>
  <c r="A35" i="5"/>
  <c r="B35" i="5" s="1"/>
  <c r="H36" i="5"/>
  <c r="I36" i="5"/>
  <c r="R36" i="5" s="1"/>
  <c r="A36" i="5"/>
  <c r="B36" i="5" s="1"/>
  <c r="H37" i="5"/>
  <c r="I37" i="5"/>
  <c r="R37" i="5" s="1"/>
  <c r="A37" i="5"/>
  <c r="B37" i="5"/>
  <c r="H38" i="5"/>
  <c r="I38" i="5"/>
  <c r="R38" i="5" s="1"/>
  <c r="A38" i="5"/>
  <c r="B38" i="5"/>
  <c r="H39" i="5"/>
  <c r="I39" i="5"/>
  <c r="R39" i="5" s="1"/>
  <c r="A39" i="5"/>
  <c r="B39" i="5" s="1"/>
  <c r="H40" i="5"/>
  <c r="I40" i="5"/>
  <c r="R40" i="5" s="1"/>
  <c r="A40" i="5"/>
  <c r="B40" i="5" s="1"/>
  <c r="H41" i="5"/>
  <c r="I41" i="5"/>
  <c r="R41" i="5" s="1"/>
  <c r="A41" i="5"/>
  <c r="B41" i="5" s="1"/>
  <c r="H42" i="5"/>
  <c r="I42" i="5"/>
  <c r="R42" i="5" s="1"/>
  <c r="A42" i="5"/>
  <c r="B42" i="5" s="1"/>
  <c r="H43" i="5"/>
  <c r="I43" i="5"/>
  <c r="R43" i="5" s="1"/>
  <c r="A43" i="5"/>
  <c r="B43" i="5" s="1"/>
  <c r="H44" i="5"/>
  <c r="I44" i="5"/>
  <c r="R44" i="5" s="1"/>
  <c r="A44" i="5"/>
  <c r="B44" i="5" s="1"/>
  <c r="H45" i="5"/>
  <c r="I45" i="5"/>
  <c r="R45" i="5" s="1"/>
  <c r="A45" i="5"/>
  <c r="B45" i="5" s="1"/>
  <c r="H46" i="5"/>
  <c r="I46" i="5"/>
  <c r="R46" i="5" s="1"/>
  <c r="A46" i="5"/>
  <c r="B46" i="5" s="1"/>
  <c r="H47" i="5"/>
  <c r="I47" i="5"/>
  <c r="R47" i="5" s="1"/>
  <c r="A47" i="5"/>
  <c r="B47" i="5" s="1"/>
  <c r="H48" i="5"/>
  <c r="I48" i="5"/>
  <c r="R48" i="5" s="1"/>
  <c r="A48" i="5"/>
  <c r="B48" i="5" s="1"/>
  <c r="H49" i="5"/>
  <c r="I49" i="5"/>
  <c r="R49" i="5" s="1"/>
  <c r="A49" i="5"/>
  <c r="B49" i="5" s="1"/>
  <c r="H50" i="5"/>
  <c r="I50" i="5"/>
  <c r="R50" i="5" s="1"/>
  <c r="A50" i="5"/>
  <c r="B50" i="5" s="1"/>
  <c r="H51" i="5"/>
  <c r="I51" i="5"/>
  <c r="R51" i="5" s="1"/>
  <c r="A51" i="5"/>
  <c r="B51" i="5" s="1"/>
  <c r="H52" i="5"/>
  <c r="I52" i="5"/>
  <c r="R52" i="5" s="1"/>
  <c r="A52" i="5"/>
  <c r="B52" i="5" s="1"/>
  <c r="H53" i="5"/>
  <c r="I53" i="5"/>
  <c r="R53" i="5" s="1"/>
  <c r="A53" i="5"/>
  <c r="B53" i="5" s="1"/>
  <c r="H54" i="5"/>
  <c r="I54" i="5"/>
  <c r="R54" i="5" s="1"/>
  <c r="A54" i="5"/>
  <c r="B54" i="5" s="1"/>
  <c r="H55" i="5"/>
  <c r="I55" i="5"/>
  <c r="R55" i="5" s="1"/>
  <c r="A55" i="5"/>
  <c r="B55" i="5" s="1"/>
  <c r="H56" i="5"/>
  <c r="I56" i="5"/>
  <c r="R56" i="5" s="1"/>
  <c r="A56" i="5"/>
  <c r="B56" i="5" s="1"/>
  <c r="H57" i="5"/>
  <c r="I57" i="5"/>
  <c r="R57" i="5"/>
  <c r="A57" i="5"/>
  <c r="B57" i="5" s="1"/>
  <c r="H58" i="5"/>
  <c r="I58" i="5"/>
  <c r="R58" i="5" s="1"/>
  <c r="A58" i="5"/>
  <c r="B58" i="5" s="1"/>
  <c r="H59" i="5"/>
  <c r="I59" i="5"/>
  <c r="R59" i="5" s="1"/>
  <c r="A59" i="5"/>
  <c r="B59" i="5"/>
  <c r="H60" i="5"/>
  <c r="I60" i="5"/>
  <c r="R60" i="5" s="1"/>
  <c r="A60" i="5"/>
  <c r="B60" i="5" s="1"/>
  <c r="H61" i="5"/>
  <c r="I61" i="5"/>
  <c r="R61" i="5" s="1"/>
  <c r="A61" i="5"/>
  <c r="B61" i="5"/>
  <c r="H62" i="5"/>
  <c r="I62" i="5"/>
  <c r="R62" i="5" s="1"/>
  <c r="A62" i="5"/>
  <c r="B62" i="5" s="1"/>
  <c r="H63" i="5"/>
  <c r="I63" i="5"/>
  <c r="R63" i="5" s="1"/>
  <c r="A63" i="5"/>
  <c r="B63" i="5" s="1"/>
  <c r="H64" i="5"/>
  <c r="I64" i="5"/>
  <c r="R64" i="5" s="1"/>
  <c r="A64" i="5"/>
  <c r="B64" i="5" s="1"/>
  <c r="H65" i="5"/>
  <c r="I65" i="5"/>
  <c r="R65" i="5" s="1"/>
  <c r="A65" i="5"/>
  <c r="B65" i="5"/>
  <c r="H66" i="5"/>
  <c r="I66" i="5"/>
  <c r="R66" i="5" s="1"/>
  <c r="A66" i="5"/>
  <c r="B66" i="5"/>
  <c r="H67" i="5"/>
  <c r="I67" i="5"/>
  <c r="R67" i="5" s="1"/>
  <c r="A67" i="5"/>
  <c r="B67" i="5"/>
  <c r="H68" i="5"/>
  <c r="I68" i="5"/>
  <c r="R68" i="5" s="1"/>
  <c r="A68" i="5"/>
  <c r="B68" i="5" s="1"/>
  <c r="H69" i="5"/>
  <c r="I69" i="5"/>
  <c r="R69" i="5" s="1"/>
  <c r="A69" i="5"/>
  <c r="B69" i="5"/>
  <c r="H70" i="5"/>
  <c r="I70" i="5"/>
  <c r="R70" i="5" s="1"/>
  <c r="A70" i="5"/>
  <c r="B70" i="5" s="1"/>
  <c r="H71" i="5"/>
  <c r="I71" i="5"/>
  <c r="R71" i="5" s="1"/>
  <c r="A71" i="5"/>
  <c r="B71" i="5"/>
  <c r="H72" i="5"/>
  <c r="I72" i="5"/>
  <c r="R72" i="5" s="1"/>
  <c r="A72" i="5"/>
  <c r="B72" i="5" s="1"/>
  <c r="H73" i="5"/>
  <c r="I73" i="5"/>
  <c r="R73" i="5" s="1"/>
  <c r="A73" i="5"/>
  <c r="B73" i="5" s="1"/>
  <c r="H74" i="5"/>
  <c r="I74" i="5"/>
  <c r="R74" i="5" s="1"/>
  <c r="A74" i="5"/>
  <c r="B74" i="5" s="1"/>
  <c r="H75" i="5"/>
  <c r="I75" i="5"/>
  <c r="R75" i="5" s="1"/>
  <c r="A75" i="5"/>
  <c r="B75" i="5" s="1"/>
  <c r="H76" i="5"/>
  <c r="I76" i="5"/>
  <c r="R76" i="5" s="1"/>
  <c r="A76" i="5"/>
  <c r="B76" i="5" s="1"/>
  <c r="H77" i="5"/>
  <c r="I77" i="5"/>
  <c r="R77" i="5" s="1"/>
  <c r="A77" i="5"/>
  <c r="B77" i="5" s="1"/>
  <c r="H78" i="5"/>
  <c r="I78" i="5"/>
  <c r="R78" i="5" s="1"/>
  <c r="A78" i="5"/>
  <c r="B78" i="5" s="1"/>
  <c r="H79" i="5"/>
  <c r="I79" i="5"/>
  <c r="R79" i="5" s="1"/>
  <c r="A79" i="5"/>
  <c r="B79" i="5" s="1"/>
  <c r="H80" i="5"/>
  <c r="I80" i="5"/>
  <c r="R80" i="5" s="1"/>
  <c r="A80" i="5"/>
  <c r="B80" i="5" s="1"/>
  <c r="H81" i="5"/>
  <c r="I81" i="5"/>
  <c r="R81" i="5" s="1"/>
  <c r="A81" i="5"/>
  <c r="B81" i="5" s="1"/>
  <c r="H82" i="5"/>
  <c r="I82" i="5"/>
  <c r="R82" i="5" s="1"/>
  <c r="A82" i="5"/>
  <c r="B82" i="5" s="1"/>
  <c r="H83" i="5"/>
  <c r="I83" i="5"/>
  <c r="R83" i="5" s="1"/>
  <c r="A83" i="5"/>
  <c r="B83" i="5" s="1"/>
  <c r="H84" i="5"/>
  <c r="I84" i="5"/>
  <c r="R84" i="5" s="1"/>
  <c r="A84" i="5"/>
  <c r="B84" i="5" s="1"/>
  <c r="H85" i="5"/>
  <c r="I85" i="5"/>
  <c r="R85" i="5" s="1"/>
  <c r="A85" i="5"/>
  <c r="B85" i="5" s="1"/>
  <c r="H86" i="5"/>
  <c r="I86" i="5"/>
  <c r="R86" i="5"/>
  <c r="A86" i="5"/>
  <c r="B86" i="5" s="1"/>
  <c r="H87" i="5"/>
  <c r="I87" i="5"/>
  <c r="R87" i="5" s="1"/>
  <c r="A87" i="5"/>
  <c r="B87" i="5" s="1"/>
  <c r="H88" i="5"/>
  <c r="I88" i="5"/>
  <c r="R88" i="5" s="1"/>
  <c r="A88" i="5"/>
  <c r="B88" i="5" s="1"/>
  <c r="H89" i="5"/>
  <c r="I89" i="5"/>
  <c r="R89" i="5" s="1"/>
  <c r="A89" i="5"/>
  <c r="B89" i="5" s="1"/>
  <c r="H90" i="5"/>
  <c r="I90" i="5"/>
  <c r="R90" i="5" s="1"/>
  <c r="A90" i="5"/>
  <c r="B90" i="5"/>
  <c r="H91" i="5"/>
  <c r="I91" i="5"/>
  <c r="R91" i="5" s="1"/>
  <c r="A91" i="5"/>
  <c r="B91" i="5" s="1"/>
  <c r="H92" i="5"/>
  <c r="I92" i="5"/>
  <c r="R92" i="5" s="1"/>
  <c r="A92" i="5"/>
  <c r="B92" i="5"/>
  <c r="H93" i="5"/>
  <c r="I93" i="5"/>
  <c r="R93" i="5" s="1"/>
  <c r="A93" i="5"/>
  <c r="B93" i="5"/>
  <c r="H94" i="5"/>
  <c r="I94" i="5"/>
  <c r="R94" i="5" s="1"/>
  <c r="A94" i="5"/>
  <c r="B94" i="5" s="1"/>
  <c r="H95" i="5"/>
  <c r="I95" i="5"/>
  <c r="R95" i="5" s="1"/>
  <c r="A95" i="5"/>
  <c r="B95" i="5" s="1"/>
  <c r="H96" i="5"/>
  <c r="I96" i="5"/>
  <c r="R96" i="5" s="1"/>
  <c r="A96" i="5"/>
  <c r="B96" i="5" s="1"/>
  <c r="H97" i="5"/>
  <c r="I97" i="5"/>
  <c r="R97" i="5" s="1"/>
  <c r="A97" i="5"/>
  <c r="B97" i="5" s="1"/>
  <c r="H98" i="5"/>
  <c r="I98" i="5"/>
  <c r="R98" i="5" s="1"/>
  <c r="A98" i="5"/>
  <c r="B98" i="5" s="1"/>
  <c r="H99" i="5"/>
  <c r="I99" i="5"/>
  <c r="R99" i="5"/>
  <c r="A99" i="5"/>
  <c r="B99" i="5" s="1"/>
  <c r="H100" i="5"/>
  <c r="I100" i="5"/>
  <c r="R100" i="5"/>
  <c r="A100" i="5"/>
  <c r="B100" i="5" s="1"/>
  <c r="H101" i="5"/>
  <c r="I101" i="5"/>
  <c r="R101" i="5" s="1"/>
  <c r="A101" i="5"/>
  <c r="B101" i="5" s="1"/>
  <c r="H102" i="5"/>
  <c r="I102" i="5"/>
  <c r="R102" i="5" s="1"/>
  <c r="A102" i="5"/>
  <c r="B102" i="5"/>
  <c r="H103" i="5"/>
  <c r="I103" i="5"/>
  <c r="R103" i="5"/>
  <c r="A103" i="5"/>
  <c r="B103" i="5" s="1"/>
  <c r="H104" i="5"/>
  <c r="I104" i="5"/>
  <c r="R104" i="5" s="1"/>
  <c r="A104" i="5"/>
  <c r="B104" i="5" s="1"/>
  <c r="H105" i="5"/>
  <c r="I105" i="5"/>
  <c r="R105" i="5" s="1"/>
  <c r="A105" i="5"/>
  <c r="B105" i="5" s="1"/>
  <c r="H106" i="5"/>
  <c r="I106" i="5"/>
  <c r="R106" i="5" s="1"/>
  <c r="A106" i="5"/>
  <c r="B106" i="5" s="1"/>
  <c r="H107" i="5"/>
  <c r="I107" i="5"/>
  <c r="R107" i="5"/>
  <c r="A107" i="5"/>
  <c r="B107" i="5"/>
  <c r="H108" i="5"/>
  <c r="I108" i="5"/>
  <c r="R108" i="5" s="1"/>
  <c r="A108" i="5"/>
  <c r="B108" i="5"/>
  <c r="H109" i="5"/>
  <c r="I109" i="5"/>
  <c r="R109" i="5" s="1"/>
  <c r="A109" i="5"/>
  <c r="B109" i="5" s="1"/>
  <c r="H110" i="5"/>
  <c r="I110" i="5"/>
  <c r="R110" i="5" s="1"/>
  <c r="A110" i="5"/>
  <c r="B110" i="5" s="1"/>
  <c r="H111" i="5"/>
  <c r="I111" i="5"/>
  <c r="R111" i="5" s="1"/>
  <c r="A111" i="5"/>
  <c r="B111" i="5" s="1"/>
  <c r="H112" i="5"/>
  <c r="I112" i="5"/>
  <c r="R112" i="5" s="1"/>
  <c r="A112" i="5"/>
  <c r="B112" i="5"/>
  <c r="H113" i="5"/>
  <c r="I113" i="5"/>
  <c r="R113" i="5" s="1"/>
  <c r="A113" i="5"/>
  <c r="B113" i="5"/>
  <c r="H114" i="5"/>
  <c r="I114" i="5"/>
  <c r="R114" i="5" s="1"/>
  <c r="A114" i="5"/>
  <c r="B114" i="5" s="1"/>
  <c r="H115" i="5"/>
  <c r="I115" i="5"/>
  <c r="R115" i="5" s="1"/>
  <c r="A115" i="5"/>
  <c r="B115" i="5" s="1"/>
  <c r="H116" i="5"/>
  <c r="I116" i="5"/>
  <c r="R116" i="5" s="1"/>
  <c r="A116" i="5"/>
  <c r="B116" i="5" s="1"/>
  <c r="H117" i="5"/>
  <c r="I117" i="5"/>
  <c r="R117" i="5" s="1"/>
  <c r="A117" i="5"/>
  <c r="B117" i="5"/>
  <c r="H118" i="5"/>
  <c r="I118" i="5"/>
  <c r="R118" i="5"/>
  <c r="A118" i="5"/>
  <c r="B118" i="5" s="1"/>
  <c r="H119" i="5"/>
  <c r="I119" i="5"/>
  <c r="R119" i="5"/>
  <c r="A119" i="5"/>
  <c r="B119" i="5" s="1"/>
  <c r="H120" i="5"/>
  <c r="I120" i="5"/>
  <c r="R120" i="5"/>
  <c r="A120" i="5"/>
  <c r="B120" i="5" s="1"/>
  <c r="H121" i="5"/>
  <c r="I121" i="5"/>
  <c r="R121" i="5" s="1"/>
  <c r="A121" i="5"/>
  <c r="B121" i="5" s="1"/>
  <c r="H122" i="5"/>
  <c r="I122" i="5"/>
  <c r="R122" i="5"/>
  <c r="A122" i="5"/>
  <c r="B122" i="5" s="1"/>
  <c r="H123" i="5"/>
  <c r="I123" i="5"/>
  <c r="R123" i="5" s="1"/>
  <c r="A123" i="5"/>
  <c r="B123" i="5" s="1"/>
  <c r="H124" i="5"/>
  <c r="I124" i="5"/>
  <c r="R124" i="5"/>
  <c r="A124" i="5"/>
  <c r="B124" i="5"/>
  <c r="H125" i="5"/>
  <c r="I125" i="5"/>
  <c r="R125" i="5" s="1"/>
  <c r="A125" i="5"/>
  <c r="B125" i="5"/>
  <c r="H126" i="5"/>
  <c r="I126" i="5"/>
  <c r="R126" i="5" s="1"/>
  <c r="A126" i="5"/>
  <c r="B126" i="5" s="1"/>
  <c r="H127" i="5"/>
  <c r="I127" i="5"/>
  <c r="R127" i="5" s="1"/>
  <c r="A127" i="5"/>
  <c r="B127" i="5"/>
  <c r="H128" i="5"/>
  <c r="I128" i="5"/>
  <c r="R128" i="5" s="1"/>
  <c r="A128" i="5"/>
  <c r="B128" i="5" s="1"/>
  <c r="H129" i="5"/>
  <c r="I129" i="5"/>
  <c r="R129" i="5" s="1"/>
  <c r="A129" i="5"/>
  <c r="B129" i="5" s="1"/>
  <c r="H130" i="5"/>
  <c r="I130" i="5"/>
  <c r="R130" i="5"/>
  <c r="A130" i="5"/>
  <c r="B130" i="5" s="1"/>
  <c r="H131" i="5"/>
  <c r="I131" i="5"/>
  <c r="R131" i="5" s="1"/>
  <c r="A131" i="5"/>
  <c r="B131" i="5" s="1"/>
  <c r="H132" i="5"/>
  <c r="I132" i="5"/>
  <c r="R132" i="5" s="1"/>
  <c r="A132" i="5"/>
  <c r="B132" i="5" s="1"/>
  <c r="H133" i="5"/>
  <c r="I133" i="5"/>
  <c r="R133" i="5" s="1"/>
  <c r="A133" i="5"/>
  <c r="B133" i="5" s="1"/>
  <c r="H134" i="5"/>
  <c r="I134" i="5"/>
  <c r="R134" i="5"/>
  <c r="A134" i="5"/>
  <c r="B134" i="5" s="1"/>
  <c r="H135" i="5"/>
  <c r="I135" i="5"/>
  <c r="R135" i="5" s="1"/>
  <c r="A135" i="5"/>
  <c r="B135" i="5" s="1"/>
  <c r="H136" i="5"/>
  <c r="I136" i="5"/>
  <c r="R136" i="5" s="1"/>
  <c r="A136" i="5"/>
  <c r="B136" i="5" s="1"/>
  <c r="H137" i="5"/>
  <c r="I137" i="5"/>
  <c r="R137" i="5" s="1"/>
  <c r="A137" i="5"/>
  <c r="B137" i="5" s="1"/>
  <c r="H138" i="5"/>
  <c r="I138" i="5"/>
  <c r="R138" i="5" s="1"/>
  <c r="A138" i="5"/>
  <c r="B138" i="5" s="1"/>
  <c r="H139" i="5"/>
  <c r="I139" i="5"/>
  <c r="R139" i="5" s="1"/>
  <c r="A139" i="5"/>
  <c r="B139" i="5" s="1"/>
  <c r="H140" i="5"/>
  <c r="I140" i="5"/>
  <c r="R140" i="5" s="1"/>
  <c r="A140" i="5"/>
  <c r="B140" i="5" s="1"/>
  <c r="H141" i="5"/>
  <c r="I141" i="5"/>
  <c r="R141" i="5" s="1"/>
  <c r="A141" i="5"/>
  <c r="B141" i="5" s="1"/>
  <c r="H142" i="5"/>
  <c r="I142" i="5"/>
  <c r="R142" i="5" s="1"/>
  <c r="A142" i="5"/>
  <c r="B142" i="5" s="1"/>
  <c r="H143" i="5"/>
  <c r="I143" i="5"/>
  <c r="R143" i="5" s="1"/>
  <c r="A143" i="5"/>
  <c r="B143" i="5" s="1"/>
  <c r="H144" i="5"/>
  <c r="I144" i="5"/>
  <c r="R144" i="5" s="1"/>
  <c r="A144" i="5"/>
  <c r="B144" i="5" s="1"/>
  <c r="H145" i="5"/>
  <c r="I145" i="5"/>
  <c r="R145" i="5" s="1"/>
  <c r="A145" i="5"/>
  <c r="B145" i="5" s="1"/>
  <c r="H146" i="5"/>
  <c r="I146" i="5"/>
  <c r="R146" i="5" s="1"/>
  <c r="A146" i="5"/>
  <c r="B146" i="5" s="1"/>
  <c r="H147" i="5"/>
  <c r="I147" i="5"/>
  <c r="R147" i="5" s="1"/>
  <c r="A147" i="5"/>
  <c r="B147" i="5" s="1"/>
  <c r="H148" i="5"/>
  <c r="I148" i="5"/>
  <c r="R148" i="5" s="1"/>
  <c r="A148" i="5"/>
  <c r="B148" i="5" s="1"/>
  <c r="H149" i="5"/>
  <c r="I149" i="5"/>
  <c r="R149" i="5" s="1"/>
  <c r="A149" i="5"/>
  <c r="B149" i="5" s="1"/>
  <c r="H150" i="5"/>
  <c r="I150" i="5"/>
  <c r="R150" i="5" s="1"/>
  <c r="A150" i="5"/>
  <c r="B150" i="5" s="1"/>
  <c r="H151" i="5"/>
  <c r="I151" i="5"/>
  <c r="R151" i="5"/>
  <c r="A151" i="5"/>
  <c r="B151" i="5" s="1"/>
  <c r="H152" i="5"/>
  <c r="I152" i="5"/>
  <c r="R152" i="5"/>
  <c r="A152" i="5"/>
  <c r="B152" i="5"/>
  <c r="H153" i="5"/>
  <c r="I153" i="5"/>
  <c r="R153" i="5" s="1"/>
  <c r="A153" i="5"/>
  <c r="B153" i="5" s="1"/>
  <c r="H154" i="5"/>
  <c r="I154" i="5"/>
  <c r="R154" i="5" s="1"/>
  <c r="A154" i="5"/>
  <c r="B154" i="5" s="1"/>
  <c r="H155" i="5"/>
  <c r="I155" i="5"/>
  <c r="R155" i="5" s="1"/>
  <c r="A155" i="5"/>
  <c r="B155" i="5" s="1"/>
  <c r="H156" i="5"/>
  <c r="I156" i="5"/>
  <c r="R156" i="5" s="1"/>
  <c r="A156" i="5"/>
  <c r="B156" i="5" s="1"/>
  <c r="H157" i="5"/>
  <c r="I157" i="5"/>
  <c r="R157" i="5" s="1"/>
  <c r="A157" i="5"/>
  <c r="B157" i="5"/>
  <c r="H158" i="5"/>
  <c r="I158" i="5"/>
  <c r="R158" i="5" s="1"/>
  <c r="A158" i="5"/>
  <c r="B158" i="5" s="1"/>
  <c r="H159" i="5"/>
  <c r="I159" i="5"/>
  <c r="R159" i="5" s="1"/>
  <c r="A159" i="5"/>
  <c r="B159" i="5" s="1"/>
  <c r="H160" i="5"/>
  <c r="I160" i="5"/>
  <c r="R160" i="5" s="1"/>
  <c r="A160" i="5"/>
  <c r="B160" i="5" s="1"/>
  <c r="H161" i="5"/>
  <c r="I161" i="5"/>
  <c r="R161" i="5" s="1"/>
  <c r="B161" i="5"/>
  <c r="H162" i="5"/>
  <c r="I162" i="5"/>
  <c r="R162" i="5" s="1"/>
  <c r="B162" i="5"/>
  <c r="H163" i="5"/>
  <c r="I163" i="5"/>
  <c r="R163" i="5" s="1"/>
  <c r="B163" i="5"/>
  <c r="H164" i="5"/>
  <c r="I164" i="5"/>
  <c r="R164" i="5" s="1"/>
  <c r="B164" i="5"/>
  <c r="H165" i="5"/>
  <c r="I165" i="5"/>
  <c r="R165" i="5" s="1"/>
  <c r="B165" i="5"/>
  <c r="H166" i="5"/>
  <c r="I166" i="5"/>
  <c r="R166" i="5" s="1"/>
  <c r="A166" i="5"/>
  <c r="B166" i="5" s="1"/>
  <c r="H167" i="5"/>
  <c r="I167" i="5"/>
  <c r="R167" i="5" s="1"/>
  <c r="A167" i="5"/>
  <c r="B167" i="5" s="1"/>
  <c r="H168" i="5"/>
  <c r="I168" i="5"/>
  <c r="R168" i="5" s="1"/>
  <c r="A168" i="5"/>
  <c r="B168" i="5" s="1"/>
  <c r="G169" i="5"/>
  <c r="P169" i="5" s="1"/>
  <c r="H169" i="5"/>
  <c r="I169" i="5"/>
  <c r="R169" i="5" s="1"/>
  <c r="A169" i="5"/>
  <c r="B169" i="5" s="1"/>
  <c r="G170" i="5"/>
  <c r="P170" i="5" s="1"/>
  <c r="H170" i="5"/>
  <c r="I170" i="5"/>
  <c r="R170" i="5" s="1"/>
  <c r="A170" i="5"/>
  <c r="B170" i="5" s="1"/>
  <c r="H171" i="5"/>
  <c r="I171" i="5"/>
  <c r="R171" i="5" s="1"/>
  <c r="A171" i="5"/>
  <c r="B171" i="5" s="1"/>
  <c r="H172" i="5"/>
  <c r="I172" i="5"/>
  <c r="R172" i="5" s="1"/>
  <c r="A172" i="5"/>
  <c r="B172" i="5" s="1"/>
  <c r="H173" i="5"/>
  <c r="I173" i="5"/>
  <c r="R173" i="5" s="1"/>
  <c r="A173" i="5"/>
  <c r="B173" i="5" s="1"/>
  <c r="H174" i="5"/>
  <c r="I174" i="5"/>
  <c r="R174" i="5" s="1"/>
  <c r="A174" i="5"/>
  <c r="B174" i="5" s="1"/>
  <c r="H175" i="5"/>
  <c r="I175" i="5"/>
  <c r="R175" i="5" s="1"/>
  <c r="A175" i="5"/>
  <c r="B175" i="5" s="1"/>
  <c r="H3" i="5"/>
  <c r="I3" i="5"/>
  <c r="R3" i="5" s="1"/>
  <c r="A3" i="5"/>
  <c r="B3" i="5" s="1"/>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C177" i="12"/>
  <c r="BQ162" i="3"/>
  <c r="BR162" i="3" s="1"/>
  <c r="BQ163" i="3"/>
  <c r="BR163" i="3" s="1"/>
  <c r="BQ164" i="3"/>
  <c r="BR164" i="3" s="1"/>
  <c r="BQ165" i="3"/>
  <c r="BR165" i="3" s="1"/>
  <c r="BQ166" i="3"/>
  <c r="BR166" i="3" s="1"/>
  <c r="BK167" i="3"/>
  <c r="G166" i="5" s="1"/>
  <c r="P166" i="5" s="1"/>
  <c r="BI167" i="3"/>
  <c r="BJ162" i="3"/>
  <c r="BJ163" i="3"/>
  <c r="BJ164" i="3"/>
  <c r="BJ165" i="3"/>
  <c r="BJ166" i="3"/>
  <c r="BK4" i="3"/>
  <c r="G3" i="5" s="1"/>
  <c r="P3" i="5" s="1"/>
  <c r="D118" i="10"/>
  <c r="BS4" i="3"/>
  <c r="J3" i="5" s="1"/>
  <c r="S3" i="5" s="1"/>
  <c r="BK5" i="3"/>
  <c r="G4" i="5" s="1"/>
  <c r="P4" i="5" s="1"/>
  <c r="BS5" i="3"/>
  <c r="J4" i="5" s="1"/>
  <c r="S4" i="5" s="1"/>
  <c r="BK6" i="3"/>
  <c r="G5" i="5" s="1"/>
  <c r="P5" i="5" s="1"/>
  <c r="BS6" i="3"/>
  <c r="J5" i="5" s="1"/>
  <c r="S5" i="5" s="1"/>
  <c r="BK7" i="3"/>
  <c r="G6" i="5" s="1"/>
  <c r="P6" i="5" s="1"/>
  <c r="BS7" i="3"/>
  <c r="J6" i="5" s="1"/>
  <c r="S6" i="5" s="1"/>
  <c r="BK8" i="3"/>
  <c r="G7" i="5" s="1"/>
  <c r="P7" i="5" s="1"/>
  <c r="BS8" i="3"/>
  <c r="J7" i="5" s="1"/>
  <c r="S7" i="5" s="1"/>
  <c r="BK9" i="3"/>
  <c r="G8" i="5" s="1"/>
  <c r="P8" i="5" s="1"/>
  <c r="BS9" i="3"/>
  <c r="J8" i="5" s="1"/>
  <c r="S8" i="5" s="1"/>
  <c r="BK10" i="3"/>
  <c r="G9" i="5" s="1"/>
  <c r="P9" i="5" s="1"/>
  <c r="BS10" i="3"/>
  <c r="J9" i="5" s="1"/>
  <c r="S9" i="5" s="1"/>
  <c r="BK11" i="3"/>
  <c r="G10" i="5" s="1"/>
  <c r="P10" i="5" s="1"/>
  <c r="BS11" i="3"/>
  <c r="J10" i="5" s="1"/>
  <c r="S10" i="5" s="1"/>
  <c r="BK12" i="3"/>
  <c r="G11" i="5" s="1"/>
  <c r="P11" i="5" s="1"/>
  <c r="BK13" i="3"/>
  <c r="G12" i="5" s="1"/>
  <c r="P12" i="5" s="1"/>
  <c r="BS13" i="3"/>
  <c r="J12" i="5" s="1"/>
  <c r="S12" i="5" s="1"/>
  <c r="BK14" i="3"/>
  <c r="G13" i="5" s="1"/>
  <c r="P13" i="5" s="1"/>
  <c r="BS14" i="3"/>
  <c r="J13" i="5" s="1"/>
  <c r="S13" i="5" s="1"/>
  <c r="BK15" i="3"/>
  <c r="G14" i="5" s="1"/>
  <c r="P14" i="5" s="1"/>
  <c r="BS15" i="3"/>
  <c r="J14" i="5" s="1"/>
  <c r="S14" i="5" s="1"/>
  <c r="BK16" i="3"/>
  <c r="G15" i="5" s="1"/>
  <c r="P15" i="5" s="1"/>
  <c r="BS16" i="3"/>
  <c r="J15" i="5" s="1"/>
  <c r="S15" i="5" s="1"/>
  <c r="BK17" i="3"/>
  <c r="G16" i="5" s="1"/>
  <c r="P16" i="5" s="1"/>
  <c r="BS17" i="3"/>
  <c r="J16" i="5" s="1"/>
  <c r="S16" i="5" s="1"/>
  <c r="BK18" i="3"/>
  <c r="G17" i="5" s="1"/>
  <c r="P17" i="5" s="1"/>
  <c r="BS18" i="3"/>
  <c r="J17" i="5" s="1"/>
  <c r="S17" i="5" s="1"/>
  <c r="BK19" i="3"/>
  <c r="G18" i="5" s="1"/>
  <c r="P18" i="5" s="1"/>
  <c r="BS19" i="3"/>
  <c r="J18" i="5" s="1"/>
  <c r="S18" i="5" s="1"/>
  <c r="BK20" i="3"/>
  <c r="G19" i="5" s="1"/>
  <c r="P19" i="5" s="1"/>
  <c r="BS20" i="3"/>
  <c r="J19" i="5" s="1"/>
  <c r="S19" i="5" s="1"/>
  <c r="BK21" i="3"/>
  <c r="G20" i="5" s="1"/>
  <c r="P20" i="5" s="1"/>
  <c r="BS21" i="3"/>
  <c r="J20" i="5" s="1"/>
  <c r="S20" i="5" s="1"/>
  <c r="BK22" i="3"/>
  <c r="G21" i="5" s="1"/>
  <c r="P21" i="5" s="1"/>
  <c r="BK23" i="3"/>
  <c r="G22" i="5" s="1"/>
  <c r="P22" i="5" s="1"/>
  <c r="BK24" i="3"/>
  <c r="G23" i="5" s="1"/>
  <c r="P23" i="5" s="1"/>
  <c r="BS24" i="3"/>
  <c r="J23" i="5" s="1"/>
  <c r="S23" i="5" s="1"/>
  <c r="BK25" i="3"/>
  <c r="G24" i="5" s="1"/>
  <c r="P24" i="5" s="1"/>
  <c r="BS25" i="3"/>
  <c r="J24" i="5" s="1"/>
  <c r="S24" i="5" s="1"/>
  <c r="BK26" i="3"/>
  <c r="G25" i="5" s="1"/>
  <c r="P25" i="5" s="1"/>
  <c r="BS26" i="3"/>
  <c r="J25" i="5" s="1"/>
  <c r="S25" i="5" s="1"/>
  <c r="BK27" i="3"/>
  <c r="G26" i="5" s="1"/>
  <c r="P26" i="5" s="1"/>
  <c r="BS27" i="3"/>
  <c r="J26" i="5" s="1"/>
  <c r="S26" i="5" s="1"/>
  <c r="BK28" i="3"/>
  <c r="G27" i="5" s="1"/>
  <c r="P27" i="5" s="1"/>
  <c r="BS28" i="3"/>
  <c r="J27" i="5" s="1"/>
  <c r="S27" i="5" s="1"/>
  <c r="BK29" i="3"/>
  <c r="G28" i="5" s="1"/>
  <c r="P28" i="5" s="1"/>
  <c r="BS29" i="3"/>
  <c r="J28" i="5" s="1"/>
  <c r="S28" i="5" s="1"/>
  <c r="BK30" i="3"/>
  <c r="G29" i="5" s="1"/>
  <c r="P29" i="5" s="1"/>
  <c r="BS30" i="3"/>
  <c r="J29" i="5" s="1"/>
  <c r="S29" i="5" s="1"/>
  <c r="BK31" i="3"/>
  <c r="G30" i="5" s="1"/>
  <c r="P30" i="5" s="1"/>
  <c r="BS31" i="3"/>
  <c r="J30" i="5" s="1"/>
  <c r="S30" i="5" s="1"/>
  <c r="BK32" i="3"/>
  <c r="G31" i="5" s="1"/>
  <c r="P31" i="5" s="1"/>
  <c r="BS32" i="3"/>
  <c r="J31" i="5" s="1"/>
  <c r="S31" i="5" s="1"/>
  <c r="BK33" i="3"/>
  <c r="G32" i="5" s="1"/>
  <c r="P32" i="5" s="1"/>
  <c r="BS33" i="3"/>
  <c r="J32" i="5" s="1"/>
  <c r="S32" i="5" s="1"/>
  <c r="BK34" i="3"/>
  <c r="G33" i="5" s="1"/>
  <c r="P33" i="5" s="1"/>
  <c r="BS34" i="3"/>
  <c r="J33" i="5" s="1"/>
  <c r="S33" i="5" s="1"/>
  <c r="BK35" i="3"/>
  <c r="G34" i="5" s="1"/>
  <c r="P34" i="5" s="1"/>
  <c r="BS35" i="3"/>
  <c r="J34" i="5" s="1"/>
  <c r="S34" i="5" s="1"/>
  <c r="BK36" i="3"/>
  <c r="G35" i="5" s="1"/>
  <c r="P35" i="5" s="1"/>
  <c r="BS36" i="3"/>
  <c r="J35" i="5" s="1"/>
  <c r="S35" i="5" s="1"/>
  <c r="BK37" i="3"/>
  <c r="G36" i="5" s="1"/>
  <c r="P36" i="5" s="1"/>
  <c r="BS37" i="3"/>
  <c r="J36" i="5" s="1"/>
  <c r="S36" i="5" s="1"/>
  <c r="BK38" i="3"/>
  <c r="G37" i="5" s="1"/>
  <c r="P37" i="5" s="1"/>
  <c r="BS38" i="3"/>
  <c r="J37" i="5" s="1"/>
  <c r="S37" i="5" s="1"/>
  <c r="BK39" i="3"/>
  <c r="G38" i="5" s="1"/>
  <c r="P38" i="5" s="1"/>
  <c r="BK40" i="3"/>
  <c r="G39" i="5" s="1"/>
  <c r="P39" i="5" s="1"/>
  <c r="BS40" i="3"/>
  <c r="J39" i="5" s="1"/>
  <c r="S39" i="5" s="1"/>
  <c r="BK41" i="3"/>
  <c r="G40" i="5" s="1"/>
  <c r="P40" i="5" s="1"/>
  <c r="BK42" i="3"/>
  <c r="G41" i="5" s="1"/>
  <c r="P41" i="5" s="1"/>
  <c r="BS42" i="3"/>
  <c r="J41" i="5" s="1"/>
  <c r="S41" i="5" s="1"/>
  <c r="BK43" i="3"/>
  <c r="G42" i="5" s="1"/>
  <c r="P42" i="5" s="1"/>
  <c r="BS43" i="3"/>
  <c r="J42" i="5" s="1"/>
  <c r="S42" i="5" s="1"/>
  <c r="BK44" i="3"/>
  <c r="G43" i="5" s="1"/>
  <c r="P43" i="5" s="1"/>
  <c r="BK45" i="3"/>
  <c r="G44" i="5" s="1"/>
  <c r="P44" i="5" s="1"/>
  <c r="BK46" i="3"/>
  <c r="G45" i="5" s="1"/>
  <c r="P45" i="5" s="1"/>
  <c r="BS47" i="3"/>
  <c r="J46" i="5" s="1"/>
  <c r="S46" i="5" s="1"/>
  <c r="BK48" i="3"/>
  <c r="G47" i="5" s="1"/>
  <c r="P47" i="5" s="1"/>
  <c r="BS48" i="3"/>
  <c r="J47" i="5" s="1"/>
  <c r="S47" i="5" s="1"/>
  <c r="BK49" i="3"/>
  <c r="G48" i="5" s="1"/>
  <c r="P48" i="5" s="1"/>
  <c r="BS49" i="3"/>
  <c r="J48" i="5" s="1"/>
  <c r="S48" i="5" s="1"/>
  <c r="BK50" i="3"/>
  <c r="G49" i="5" s="1"/>
  <c r="P49" i="5" s="1"/>
  <c r="BS50" i="3"/>
  <c r="J49" i="5" s="1"/>
  <c r="S49" i="5" s="1"/>
  <c r="BK51" i="3"/>
  <c r="G50" i="5" s="1"/>
  <c r="P50" i="5" s="1"/>
  <c r="BK52" i="3"/>
  <c r="G51" i="5" s="1"/>
  <c r="P51" i="5" s="1"/>
  <c r="BS52" i="3"/>
  <c r="J51" i="5" s="1"/>
  <c r="S51" i="5" s="1"/>
  <c r="BK53" i="3"/>
  <c r="G52" i="5" s="1"/>
  <c r="P52" i="5" s="1"/>
  <c r="BS53" i="3"/>
  <c r="J52" i="5" s="1"/>
  <c r="S52" i="5" s="1"/>
  <c r="BK54" i="3"/>
  <c r="G53" i="5" s="1"/>
  <c r="P53" i="5" s="1"/>
  <c r="BS54" i="3"/>
  <c r="J53" i="5" s="1"/>
  <c r="S53" i="5" s="1"/>
  <c r="BK55" i="3"/>
  <c r="G54" i="5" s="1"/>
  <c r="P54" i="5" s="1"/>
  <c r="BS55" i="3"/>
  <c r="J54" i="5" s="1"/>
  <c r="S54" i="5" s="1"/>
  <c r="BK56" i="3"/>
  <c r="G55" i="5" s="1"/>
  <c r="P55" i="5" s="1"/>
  <c r="BS56" i="3"/>
  <c r="J55" i="5" s="1"/>
  <c r="S55" i="5" s="1"/>
  <c r="BK57" i="3"/>
  <c r="G56" i="5" s="1"/>
  <c r="P56" i="5" s="1"/>
  <c r="BS57" i="3"/>
  <c r="J56" i="5" s="1"/>
  <c r="S56" i="5" s="1"/>
  <c r="BK58" i="3"/>
  <c r="G57" i="5" s="1"/>
  <c r="P57" i="5" s="1"/>
  <c r="BS58" i="3"/>
  <c r="J57" i="5" s="1"/>
  <c r="S57" i="5" s="1"/>
  <c r="BK59" i="3"/>
  <c r="G58" i="5" s="1"/>
  <c r="P58" i="5" s="1"/>
  <c r="BS59" i="3"/>
  <c r="J58" i="5" s="1"/>
  <c r="S58" i="5" s="1"/>
  <c r="BK60" i="3"/>
  <c r="G59" i="5" s="1"/>
  <c r="P59" i="5" s="1"/>
  <c r="BK61" i="3"/>
  <c r="G60" i="5" s="1"/>
  <c r="P60" i="5" s="1"/>
  <c r="BS61" i="3"/>
  <c r="J60" i="5" s="1"/>
  <c r="S60" i="5" s="1"/>
  <c r="BK62" i="3"/>
  <c r="G61" i="5" s="1"/>
  <c r="P61" i="5" s="1"/>
  <c r="BS62" i="3"/>
  <c r="J61" i="5" s="1"/>
  <c r="S61" i="5" s="1"/>
  <c r="BK63" i="3"/>
  <c r="G62" i="5" s="1"/>
  <c r="P62" i="5" s="1"/>
  <c r="BS63" i="3"/>
  <c r="J62" i="5" s="1"/>
  <c r="S62" i="5" s="1"/>
  <c r="BK64" i="3"/>
  <c r="G63" i="5" s="1"/>
  <c r="P63" i="5" s="1"/>
  <c r="BS64" i="3"/>
  <c r="J63" i="5" s="1"/>
  <c r="S63" i="5" s="1"/>
  <c r="BK65" i="3"/>
  <c r="G64" i="5" s="1"/>
  <c r="P64" i="5" s="1"/>
  <c r="BS65" i="3"/>
  <c r="J64" i="5" s="1"/>
  <c r="S64" i="5" s="1"/>
  <c r="BK66" i="3"/>
  <c r="G65" i="5" s="1"/>
  <c r="P65" i="5" s="1"/>
  <c r="BS66" i="3"/>
  <c r="J65" i="5" s="1"/>
  <c r="S65" i="5" s="1"/>
  <c r="BK67" i="3"/>
  <c r="G66" i="5" s="1"/>
  <c r="P66" i="5" s="1"/>
  <c r="BS67" i="3"/>
  <c r="J66" i="5" s="1"/>
  <c r="S66" i="5" s="1"/>
  <c r="BK68" i="3"/>
  <c r="G67" i="5" s="1"/>
  <c r="P67" i="5" s="1"/>
  <c r="BS68" i="3"/>
  <c r="J67" i="5" s="1"/>
  <c r="S67" i="5" s="1"/>
  <c r="BK69" i="3"/>
  <c r="G68" i="5" s="1"/>
  <c r="P68" i="5" s="1"/>
  <c r="BS69" i="3"/>
  <c r="J68" i="5" s="1"/>
  <c r="S68" i="5" s="1"/>
  <c r="BK70" i="3"/>
  <c r="G69" i="5" s="1"/>
  <c r="P69" i="5" s="1"/>
  <c r="BS70" i="3"/>
  <c r="J69" i="5" s="1"/>
  <c r="S69" i="5" s="1"/>
  <c r="BK71" i="3"/>
  <c r="G70" i="5" s="1"/>
  <c r="P70" i="5" s="1"/>
  <c r="BS71" i="3"/>
  <c r="J70" i="5" s="1"/>
  <c r="S70" i="5" s="1"/>
  <c r="BK72" i="3"/>
  <c r="G71" i="5" s="1"/>
  <c r="P71" i="5" s="1"/>
  <c r="BS72" i="3"/>
  <c r="J71" i="5" s="1"/>
  <c r="S71" i="5" s="1"/>
  <c r="BK73" i="3"/>
  <c r="G72" i="5" s="1"/>
  <c r="P72" i="5" s="1"/>
  <c r="BS73" i="3"/>
  <c r="J72" i="5" s="1"/>
  <c r="S72" i="5" s="1"/>
  <c r="BK74" i="3"/>
  <c r="G73" i="5" s="1"/>
  <c r="P73" i="5" s="1"/>
  <c r="BS74" i="3"/>
  <c r="J73" i="5" s="1"/>
  <c r="S73" i="5" s="1"/>
  <c r="BK75" i="3"/>
  <c r="G74" i="5" s="1"/>
  <c r="P74" i="5" s="1"/>
  <c r="BS75" i="3"/>
  <c r="J74" i="5" s="1"/>
  <c r="S74" i="5" s="1"/>
  <c r="BK76" i="3"/>
  <c r="G75" i="5" s="1"/>
  <c r="P75" i="5" s="1"/>
  <c r="BK77" i="3"/>
  <c r="G76" i="5" s="1"/>
  <c r="P76" i="5" s="1"/>
  <c r="BK78" i="3"/>
  <c r="G77" i="5" s="1"/>
  <c r="P77" i="5" s="1"/>
  <c r="BS78" i="3"/>
  <c r="J77" i="5" s="1"/>
  <c r="S77" i="5" s="1"/>
  <c r="BK79" i="3"/>
  <c r="G78" i="5" s="1"/>
  <c r="P78" i="5" s="1"/>
  <c r="BK80" i="3"/>
  <c r="G79" i="5" s="1"/>
  <c r="P79" i="5" s="1"/>
  <c r="BS80" i="3"/>
  <c r="J79" i="5" s="1"/>
  <c r="S79" i="5" s="1"/>
  <c r="BK81" i="3"/>
  <c r="G80" i="5" s="1"/>
  <c r="P80" i="5" s="1"/>
  <c r="BS81" i="3"/>
  <c r="J80" i="5" s="1"/>
  <c r="S80" i="5" s="1"/>
  <c r="BK82" i="3"/>
  <c r="G81" i="5" s="1"/>
  <c r="P81" i="5" s="1"/>
  <c r="BS82" i="3"/>
  <c r="J81" i="5" s="1"/>
  <c r="S81" i="5" s="1"/>
  <c r="BK83" i="3"/>
  <c r="G82" i="5" s="1"/>
  <c r="P82" i="5" s="1"/>
  <c r="BS83" i="3"/>
  <c r="J82" i="5" s="1"/>
  <c r="S82" i="5" s="1"/>
  <c r="BK84" i="3"/>
  <c r="G83" i="5" s="1"/>
  <c r="P83" i="5" s="1"/>
  <c r="BS84" i="3"/>
  <c r="J83" i="5" s="1"/>
  <c r="S83" i="5" s="1"/>
  <c r="BK85" i="3"/>
  <c r="G84" i="5" s="1"/>
  <c r="P84" i="5" s="1"/>
  <c r="BS85" i="3"/>
  <c r="J84" i="5" s="1"/>
  <c r="S84" i="5" s="1"/>
  <c r="BK86" i="3"/>
  <c r="G85" i="5" s="1"/>
  <c r="P85" i="5" s="1"/>
  <c r="BS86" i="3"/>
  <c r="J85" i="5" s="1"/>
  <c r="S85" i="5" s="1"/>
  <c r="BK87" i="3"/>
  <c r="G86" i="5" s="1"/>
  <c r="P86" i="5" s="1"/>
  <c r="BS87" i="3"/>
  <c r="J86" i="5" s="1"/>
  <c r="S86" i="5" s="1"/>
  <c r="BK88" i="3"/>
  <c r="G87" i="5" s="1"/>
  <c r="P87" i="5" s="1"/>
  <c r="BS88" i="3"/>
  <c r="J87" i="5" s="1"/>
  <c r="S87" i="5" s="1"/>
  <c r="BK89" i="3"/>
  <c r="G88" i="5" s="1"/>
  <c r="P88" i="5" s="1"/>
  <c r="BS89" i="3"/>
  <c r="J88" i="5" s="1"/>
  <c r="S88" i="5" s="1"/>
  <c r="BK90" i="3"/>
  <c r="G89" i="5" s="1"/>
  <c r="P89" i="5" s="1"/>
  <c r="BS90" i="3"/>
  <c r="J89" i="5" s="1"/>
  <c r="S89" i="5" s="1"/>
  <c r="BK91" i="3"/>
  <c r="G90" i="5" s="1"/>
  <c r="P90" i="5" s="1"/>
  <c r="BS91" i="3"/>
  <c r="J90" i="5" s="1"/>
  <c r="S90" i="5" s="1"/>
  <c r="BS92" i="3"/>
  <c r="J91" i="5" s="1"/>
  <c r="S91" i="5" s="1"/>
  <c r="BK93" i="3"/>
  <c r="G92" i="5" s="1"/>
  <c r="P92" i="5" s="1"/>
  <c r="BS93" i="3"/>
  <c r="J92" i="5" s="1"/>
  <c r="S92" i="5" s="1"/>
  <c r="BK94" i="3"/>
  <c r="G93" i="5" s="1"/>
  <c r="P93" i="5" s="1"/>
  <c r="BS94" i="3"/>
  <c r="J93" i="5" s="1"/>
  <c r="S93" i="5" s="1"/>
  <c r="BK95" i="3"/>
  <c r="G94" i="5" s="1"/>
  <c r="P94" i="5" s="1"/>
  <c r="BS95" i="3"/>
  <c r="J94" i="5" s="1"/>
  <c r="S94" i="5" s="1"/>
  <c r="BK96" i="3"/>
  <c r="G95" i="5" s="1"/>
  <c r="P95" i="5" s="1"/>
  <c r="BS96" i="3"/>
  <c r="J95" i="5" s="1"/>
  <c r="S95" i="5" s="1"/>
  <c r="BK97" i="3"/>
  <c r="G96" i="5" s="1"/>
  <c r="P96" i="5" s="1"/>
  <c r="BS97" i="3"/>
  <c r="J96" i="5" s="1"/>
  <c r="S96" i="5" s="1"/>
  <c r="BK98" i="3"/>
  <c r="G97" i="5" s="1"/>
  <c r="P97" i="5" s="1"/>
  <c r="BS98" i="3"/>
  <c r="J97" i="5" s="1"/>
  <c r="S97" i="5" s="1"/>
  <c r="BK99" i="3"/>
  <c r="G98" i="5" s="1"/>
  <c r="P98" i="5" s="1"/>
  <c r="BS99" i="3"/>
  <c r="J98" i="5" s="1"/>
  <c r="S98" i="5" s="1"/>
  <c r="BS100" i="3"/>
  <c r="J99" i="5" s="1"/>
  <c r="S99" i="5" s="1"/>
  <c r="BK101" i="3"/>
  <c r="G100" i="5" s="1"/>
  <c r="P100" i="5" s="1"/>
  <c r="BS101" i="3"/>
  <c r="J100" i="5" s="1"/>
  <c r="S100" i="5" s="1"/>
  <c r="BK102" i="3"/>
  <c r="G101" i="5" s="1"/>
  <c r="P101" i="5" s="1"/>
  <c r="BS102" i="3"/>
  <c r="J101" i="5" s="1"/>
  <c r="S101" i="5" s="1"/>
  <c r="BK103" i="3"/>
  <c r="G102" i="5" s="1"/>
  <c r="P102" i="5" s="1"/>
  <c r="BS104" i="3"/>
  <c r="J103" i="5" s="1"/>
  <c r="S103" i="5" s="1"/>
  <c r="BK105" i="3"/>
  <c r="G104" i="5" s="1"/>
  <c r="P104" i="5" s="1"/>
  <c r="BS105" i="3"/>
  <c r="J104" i="5" s="1"/>
  <c r="S104" i="5" s="1"/>
  <c r="BK106" i="3"/>
  <c r="G105" i="5" s="1"/>
  <c r="P105" i="5" s="1"/>
  <c r="BS106" i="3"/>
  <c r="J105" i="5" s="1"/>
  <c r="S105" i="5" s="1"/>
  <c r="BK107" i="3"/>
  <c r="G106" i="5" s="1"/>
  <c r="P106" i="5" s="1"/>
  <c r="BS107" i="3"/>
  <c r="J106" i="5" s="1"/>
  <c r="S106" i="5" s="1"/>
  <c r="BK108" i="3"/>
  <c r="G107" i="5" s="1"/>
  <c r="P107" i="5" s="1"/>
  <c r="BS108" i="3"/>
  <c r="J107" i="5" s="1"/>
  <c r="S107" i="5" s="1"/>
  <c r="BK109" i="3"/>
  <c r="G108" i="5" s="1"/>
  <c r="P108" i="5" s="1"/>
  <c r="BS109" i="3"/>
  <c r="J108" i="5" s="1"/>
  <c r="S108" i="5" s="1"/>
  <c r="BK110" i="3"/>
  <c r="G109" i="5" s="1"/>
  <c r="P109" i="5" s="1"/>
  <c r="BS110" i="3"/>
  <c r="J109" i="5" s="1"/>
  <c r="S109" i="5" s="1"/>
  <c r="BS111" i="3"/>
  <c r="J110" i="5" s="1"/>
  <c r="S110" i="5" s="1"/>
  <c r="BK112" i="3"/>
  <c r="G111" i="5" s="1"/>
  <c r="P111" i="5" s="1"/>
  <c r="BS112" i="3"/>
  <c r="J111" i="5" s="1"/>
  <c r="S111" i="5" s="1"/>
  <c r="BK113" i="3"/>
  <c r="G112" i="5" s="1"/>
  <c r="P112" i="5" s="1"/>
  <c r="BS113" i="3"/>
  <c r="J112" i="5" s="1"/>
  <c r="S112" i="5" s="1"/>
  <c r="BK114" i="3"/>
  <c r="G113" i="5" s="1"/>
  <c r="P113" i="5" s="1"/>
  <c r="BS114" i="3"/>
  <c r="J113" i="5" s="1"/>
  <c r="S113" i="5" s="1"/>
  <c r="BK115" i="3"/>
  <c r="G114" i="5" s="1"/>
  <c r="P114" i="5" s="1"/>
  <c r="BS115" i="3"/>
  <c r="J114" i="5" s="1"/>
  <c r="S114" i="5" s="1"/>
  <c r="BK116" i="3"/>
  <c r="G115" i="5" s="1"/>
  <c r="P115" i="5" s="1"/>
  <c r="BS116" i="3"/>
  <c r="J115" i="5" s="1"/>
  <c r="S115" i="5" s="1"/>
  <c r="BK117" i="3"/>
  <c r="G116" i="5" s="1"/>
  <c r="P116" i="5" s="1"/>
  <c r="BS117" i="3"/>
  <c r="J116" i="5" s="1"/>
  <c r="S116" i="5" s="1"/>
  <c r="BK118" i="3"/>
  <c r="G117" i="5" s="1"/>
  <c r="P117" i="5" s="1"/>
  <c r="BS118" i="3"/>
  <c r="J117" i="5" s="1"/>
  <c r="S117" i="5" s="1"/>
  <c r="BK119" i="3"/>
  <c r="G118" i="5" s="1"/>
  <c r="P118" i="5" s="1"/>
  <c r="BS119" i="3"/>
  <c r="J118" i="5" s="1"/>
  <c r="S118" i="5" s="1"/>
  <c r="BK120" i="3"/>
  <c r="G119" i="5" s="1"/>
  <c r="P119" i="5" s="1"/>
  <c r="BS120" i="3"/>
  <c r="J119" i="5" s="1"/>
  <c r="S119" i="5" s="1"/>
  <c r="BK121" i="3"/>
  <c r="G120" i="5" s="1"/>
  <c r="P120" i="5" s="1"/>
  <c r="BS121" i="3"/>
  <c r="J120" i="5" s="1"/>
  <c r="S120" i="5" s="1"/>
  <c r="BK122" i="3"/>
  <c r="G121" i="5" s="1"/>
  <c r="P121" i="5" s="1"/>
  <c r="BS122" i="3"/>
  <c r="J121" i="5" s="1"/>
  <c r="S121" i="5" s="1"/>
  <c r="BK123" i="3"/>
  <c r="G122" i="5" s="1"/>
  <c r="P122" i="5" s="1"/>
  <c r="BS123" i="3"/>
  <c r="J122" i="5" s="1"/>
  <c r="S122" i="5" s="1"/>
  <c r="BK124" i="3"/>
  <c r="G123" i="5" s="1"/>
  <c r="P123" i="5" s="1"/>
  <c r="BS124" i="3"/>
  <c r="J123" i="5" s="1"/>
  <c r="S123" i="5" s="1"/>
  <c r="BK125" i="3"/>
  <c r="G124" i="5" s="1"/>
  <c r="P124" i="5" s="1"/>
  <c r="BS125" i="3"/>
  <c r="J124" i="5" s="1"/>
  <c r="S124" i="5" s="1"/>
  <c r="BK126" i="3"/>
  <c r="G125" i="5" s="1"/>
  <c r="P125" i="5" s="1"/>
  <c r="BS126" i="3"/>
  <c r="J125" i="5" s="1"/>
  <c r="S125" i="5" s="1"/>
  <c r="BK127" i="3"/>
  <c r="G126" i="5" s="1"/>
  <c r="P126" i="5" s="1"/>
  <c r="BS127" i="3"/>
  <c r="J126" i="5" s="1"/>
  <c r="S126" i="5" s="1"/>
  <c r="BK128" i="3"/>
  <c r="G127" i="5" s="1"/>
  <c r="P127" i="5" s="1"/>
  <c r="BS128" i="3"/>
  <c r="J127" i="5" s="1"/>
  <c r="S127" i="5" s="1"/>
  <c r="BK129" i="3"/>
  <c r="G128" i="5" s="1"/>
  <c r="P128" i="5" s="1"/>
  <c r="BK130" i="3"/>
  <c r="G129" i="5" s="1"/>
  <c r="P129" i="5" s="1"/>
  <c r="BS130" i="3"/>
  <c r="J129" i="5" s="1"/>
  <c r="S129" i="5" s="1"/>
  <c r="BK131" i="3"/>
  <c r="G130" i="5" s="1"/>
  <c r="P130" i="5" s="1"/>
  <c r="BK132" i="3"/>
  <c r="G131" i="5" s="1"/>
  <c r="P131" i="5" s="1"/>
  <c r="BS132" i="3"/>
  <c r="J131" i="5" s="1"/>
  <c r="S131" i="5" s="1"/>
  <c r="BK133" i="3"/>
  <c r="G132" i="5" s="1"/>
  <c r="P132" i="5" s="1"/>
  <c r="BS133" i="3"/>
  <c r="J132" i="5" s="1"/>
  <c r="S132" i="5" s="1"/>
  <c r="BK134" i="3"/>
  <c r="G133" i="5" s="1"/>
  <c r="P133" i="5" s="1"/>
  <c r="BS134" i="3"/>
  <c r="J133" i="5" s="1"/>
  <c r="S133" i="5" s="1"/>
  <c r="BK135" i="3"/>
  <c r="G134" i="5" s="1"/>
  <c r="P134" i="5" s="1"/>
  <c r="BS135" i="3"/>
  <c r="J134" i="5" s="1"/>
  <c r="S134" i="5" s="1"/>
  <c r="BK136" i="3"/>
  <c r="G135" i="5" s="1"/>
  <c r="P135" i="5" s="1"/>
  <c r="BS136" i="3"/>
  <c r="J135" i="5" s="1"/>
  <c r="S135" i="5" s="1"/>
  <c r="BK137" i="3"/>
  <c r="G136" i="5" s="1"/>
  <c r="P136" i="5" s="1"/>
  <c r="BS137" i="3"/>
  <c r="J136" i="5" s="1"/>
  <c r="S136" i="5" s="1"/>
  <c r="BK138" i="3"/>
  <c r="G137" i="5" s="1"/>
  <c r="P137" i="5" s="1"/>
  <c r="BS138" i="3"/>
  <c r="J137" i="5" s="1"/>
  <c r="S137" i="5" s="1"/>
  <c r="BK139" i="3"/>
  <c r="G138" i="5" s="1"/>
  <c r="P138" i="5" s="1"/>
  <c r="BK140" i="3"/>
  <c r="G139" i="5" s="1"/>
  <c r="P139" i="5" s="1"/>
  <c r="BS140" i="3"/>
  <c r="J139" i="5" s="1"/>
  <c r="S139" i="5" s="1"/>
  <c r="BK141" i="3"/>
  <c r="G140" i="5" s="1"/>
  <c r="P140" i="5" s="1"/>
  <c r="BS141" i="3"/>
  <c r="J140" i="5" s="1"/>
  <c r="S140" i="5" s="1"/>
  <c r="BK142" i="3"/>
  <c r="G141" i="5" s="1"/>
  <c r="P141" i="5" s="1"/>
  <c r="BS142" i="3"/>
  <c r="J141" i="5" s="1"/>
  <c r="S141" i="5" s="1"/>
  <c r="BK143" i="3"/>
  <c r="G142" i="5" s="1"/>
  <c r="P142" i="5" s="1"/>
  <c r="BS143" i="3"/>
  <c r="J142" i="5" s="1"/>
  <c r="S142" i="5" s="1"/>
  <c r="BK144" i="3"/>
  <c r="G143" i="5" s="1"/>
  <c r="P143" i="5" s="1"/>
  <c r="BK145" i="3"/>
  <c r="G144" i="5" s="1"/>
  <c r="P144" i="5" s="1"/>
  <c r="BS145" i="3"/>
  <c r="J144" i="5" s="1"/>
  <c r="S144" i="5" s="1"/>
  <c r="BK146" i="3"/>
  <c r="G145" i="5" s="1"/>
  <c r="P145" i="5" s="1"/>
  <c r="BS146" i="3"/>
  <c r="J145" i="5" s="1"/>
  <c r="S145" i="5" s="1"/>
  <c r="BK147" i="3"/>
  <c r="G146" i="5" s="1"/>
  <c r="P146" i="5" s="1"/>
  <c r="BS147" i="3"/>
  <c r="J146" i="5" s="1"/>
  <c r="S146" i="5" s="1"/>
  <c r="BK148" i="3"/>
  <c r="G147" i="5" s="1"/>
  <c r="P147" i="5" s="1"/>
  <c r="BS148" i="3"/>
  <c r="J147" i="5" s="1"/>
  <c r="S147" i="5" s="1"/>
  <c r="BK149" i="3"/>
  <c r="G148" i="5" s="1"/>
  <c r="P148" i="5" s="1"/>
  <c r="BS149" i="3"/>
  <c r="J148" i="5" s="1"/>
  <c r="S148" i="5" s="1"/>
  <c r="BS150" i="3"/>
  <c r="J149" i="5" s="1"/>
  <c r="S149" i="5" s="1"/>
  <c r="BK151" i="3"/>
  <c r="G150" i="5" s="1"/>
  <c r="P150" i="5" s="1"/>
  <c r="BS151" i="3"/>
  <c r="J150" i="5" s="1"/>
  <c r="S150" i="5" s="1"/>
  <c r="BK152" i="3"/>
  <c r="G151" i="5" s="1"/>
  <c r="P151" i="5" s="1"/>
  <c r="BK153" i="3"/>
  <c r="G152" i="5" s="1"/>
  <c r="P152" i="5" s="1"/>
  <c r="BS153" i="3"/>
  <c r="J152" i="5" s="1"/>
  <c r="S152" i="5" s="1"/>
  <c r="BK154" i="3"/>
  <c r="G153" i="5" s="1"/>
  <c r="P153" i="5" s="1"/>
  <c r="BK155" i="3"/>
  <c r="G154" i="5" s="1"/>
  <c r="P154" i="5" s="1"/>
  <c r="BS155" i="3"/>
  <c r="J154" i="5" s="1"/>
  <c r="S154" i="5" s="1"/>
  <c r="BK156" i="3"/>
  <c r="G155" i="5" s="1"/>
  <c r="P155" i="5" s="1"/>
  <c r="BK157" i="3"/>
  <c r="G156" i="5" s="1"/>
  <c r="P156" i="5" s="1"/>
  <c r="BK158" i="3"/>
  <c r="G157" i="5" s="1"/>
  <c r="P157" i="5" s="1"/>
  <c r="BK159" i="3"/>
  <c r="G158" i="5" s="1"/>
  <c r="P158" i="5" s="1"/>
  <c r="BS159" i="3"/>
  <c r="J158" i="5" s="1"/>
  <c r="S158" i="5" s="1"/>
  <c r="BK160" i="3"/>
  <c r="G159" i="5" s="1"/>
  <c r="P159" i="5" s="1"/>
  <c r="BS160" i="3"/>
  <c r="J159" i="5" s="1"/>
  <c r="S159" i="5" s="1"/>
  <c r="BK161" i="3"/>
  <c r="G160" i="5" s="1"/>
  <c r="P160" i="5" s="1"/>
  <c r="BK168" i="3"/>
  <c r="G167" i="5" s="1"/>
  <c r="P167" i="5" s="1"/>
  <c r="BS169" i="3"/>
  <c r="J168" i="5" s="1"/>
  <c r="S168" i="5" s="1"/>
  <c r="BS172" i="3"/>
  <c r="J171" i="5" s="1"/>
  <c r="S171" i="5" s="1"/>
  <c r="BS173" i="3"/>
  <c r="J172" i="5" s="1"/>
  <c r="S172" i="5" s="1"/>
  <c r="BK174" i="3"/>
  <c r="G173" i="5" s="1"/>
  <c r="P173" i="5" s="1"/>
  <c r="BS174" i="3"/>
  <c r="J173" i="5" s="1"/>
  <c r="S173" i="5" s="1"/>
  <c r="BK175" i="3"/>
  <c r="G174" i="5" s="1"/>
  <c r="P174" i="5" s="1"/>
  <c r="BS175" i="3"/>
  <c r="J174" i="5" s="1"/>
  <c r="S174" i="5" s="1"/>
  <c r="BK176" i="3"/>
  <c r="G175" i="5" s="1"/>
  <c r="P175" i="5" s="1"/>
  <c r="BS170" i="3"/>
  <c r="J169" i="5" s="1"/>
  <c r="S169" i="5" s="1"/>
  <c r="K11" i="4"/>
  <c r="K12" i="4"/>
  <c r="K13" i="4"/>
  <c r="K14" i="4"/>
  <c r="K15" i="4"/>
  <c r="P11" i="4"/>
  <c r="AB11" i="4"/>
  <c r="P12" i="4"/>
  <c r="AB12" i="4"/>
  <c r="P13" i="4"/>
  <c r="AB13" i="4"/>
  <c r="P14" i="4"/>
  <c r="AB14" i="4"/>
  <c r="P15" i="4"/>
  <c r="AB15" i="4"/>
  <c r="A33" i="4"/>
  <c r="B33" i="4" s="1"/>
  <c r="O160" i="8"/>
  <c r="P160" i="8"/>
  <c r="Q160" i="8"/>
  <c r="O161" i="8"/>
  <c r="P161" i="8"/>
  <c r="Q161" i="8"/>
  <c r="O162" i="8"/>
  <c r="P162" i="8"/>
  <c r="Q162" i="8"/>
  <c r="O163" i="8"/>
  <c r="V164" i="5" s="1"/>
  <c r="P163" i="8"/>
  <c r="Q163" i="8"/>
  <c r="O164" i="8"/>
  <c r="P164" i="8"/>
  <c r="Q164" i="8"/>
  <c r="X5" i="6"/>
  <c r="X6" i="6"/>
  <c r="O2" i="8"/>
  <c r="O3" i="8"/>
  <c r="O4" i="8"/>
  <c r="O5" i="8"/>
  <c r="O6" i="8"/>
  <c r="O8" i="8"/>
  <c r="O11" i="8"/>
  <c r="O12" i="8"/>
  <c r="O14" i="8"/>
  <c r="O15" i="8"/>
  <c r="O16" i="8"/>
  <c r="G11" i="8"/>
  <c r="I11" i="8"/>
  <c r="O19" i="8"/>
  <c r="O20" i="8"/>
  <c r="R20" i="8" s="1"/>
  <c r="O23" i="8"/>
  <c r="O24" i="8"/>
  <c r="O25" i="8"/>
  <c r="G16" i="8"/>
  <c r="I16" i="8" s="1"/>
  <c r="O28" i="8"/>
  <c r="O29" i="8"/>
  <c r="O30" i="8"/>
  <c r="O31" i="8"/>
  <c r="O32" i="8"/>
  <c r="O33" i="8"/>
  <c r="O34" i="8"/>
  <c r="V35" i="5" s="1"/>
  <c r="O35" i="8"/>
  <c r="V36" i="5" s="1"/>
  <c r="O36" i="8"/>
  <c r="O38" i="8"/>
  <c r="O39" i="8"/>
  <c r="G20" i="8"/>
  <c r="I20" i="8" s="1"/>
  <c r="G25" i="8"/>
  <c r="I25" i="8" s="1"/>
  <c r="G26" i="8"/>
  <c r="I26" i="8" s="1"/>
  <c r="G28" i="8"/>
  <c r="I28" i="8" s="1"/>
  <c r="G30" i="8"/>
  <c r="I30" i="8" s="1"/>
  <c r="G34" i="8"/>
  <c r="I34" i="8" s="1"/>
  <c r="G37" i="8"/>
  <c r="I37" i="8" s="1"/>
  <c r="G38" i="8"/>
  <c r="I38" i="8" s="1"/>
  <c r="G41" i="8"/>
  <c r="I41" i="8" s="1"/>
  <c r="G42" i="8"/>
  <c r="I42" i="8" s="1"/>
  <c r="O41" i="8"/>
  <c r="O44" i="8"/>
  <c r="R44" i="8" s="1"/>
  <c r="O45" i="8"/>
  <c r="R45" i="8" s="1"/>
  <c r="O46" i="8"/>
  <c r="O48" i="8"/>
  <c r="O49" i="8"/>
  <c r="O52" i="8"/>
  <c r="O53" i="8"/>
  <c r="V54" i="5" s="1"/>
  <c r="O54" i="8"/>
  <c r="O55" i="8"/>
  <c r="O56" i="8"/>
  <c r="R56" i="8" s="1"/>
  <c r="O57" i="8"/>
  <c r="O59" i="8"/>
  <c r="O60" i="8"/>
  <c r="O62" i="8"/>
  <c r="O63" i="8"/>
  <c r="O64" i="8"/>
  <c r="O66" i="8"/>
  <c r="R66" i="8" s="1"/>
  <c r="O67" i="8"/>
  <c r="O68" i="8"/>
  <c r="O69" i="8"/>
  <c r="O70" i="8"/>
  <c r="O71" i="8"/>
  <c r="O72" i="8"/>
  <c r="V73" i="5" s="1"/>
  <c r="O74" i="8"/>
  <c r="O76" i="8"/>
  <c r="R76" i="8" s="1"/>
  <c r="O77" i="8"/>
  <c r="O78" i="8"/>
  <c r="O79" i="8"/>
  <c r="O80" i="8"/>
  <c r="O81" i="8"/>
  <c r="O82" i="8"/>
  <c r="O83" i="8"/>
  <c r="O84" i="8"/>
  <c r="R84" i="8" s="1"/>
  <c r="O85" i="8"/>
  <c r="V86" i="5" s="1"/>
  <c r="O86" i="8"/>
  <c r="O87" i="8"/>
  <c r="O89" i="8"/>
  <c r="O90" i="8"/>
  <c r="O92" i="8"/>
  <c r="O93" i="8"/>
  <c r="O94" i="8"/>
  <c r="R94" i="8" s="1"/>
  <c r="O95" i="8"/>
  <c r="O96" i="8"/>
  <c r="O97" i="8"/>
  <c r="O98" i="8"/>
  <c r="V99" i="5" s="1"/>
  <c r="O100" i="8"/>
  <c r="O101" i="8"/>
  <c r="O102" i="8"/>
  <c r="O103" i="8"/>
  <c r="O104" i="8"/>
  <c r="O105" i="8"/>
  <c r="O107" i="8"/>
  <c r="O108" i="8"/>
  <c r="O109" i="8"/>
  <c r="O110" i="8"/>
  <c r="O111" i="8"/>
  <c r="O113" i="8"/>
  <c r="R113" i="8" s="1"/>
  <c r="O114" i="8"/>
  <c r="O115" i="8"/>
  <c r="O116" i="8"/>
  <c r="O117" i="8"/>
  <c r="O118" i="8"/>
  <c r="O119" i="8"/>
  <c r="O120" i="8"/>
  <c r="O121" i="8"/>
  <c r="R121" i="8" s="1"/>
  <c r="O122" i="8"/>
  <c r="O123" i="8"/>
  <c r="O124" i="8"/>
  <c r="O125" i="8"/>
  <c r="V126" i="5" s="1"/>
  <c r="O126" i="8"/>
  <c r="O127" i="8"/>
  <c r="O128" i="8"/>
  <c r="O129" i="8"/>
  <c r="R129" i="8" s="1"/>
  <c r="O130" i="8"/>
  <c r="O131" i="8"/>
  <c r="V132" i="5" s="1"/>
  <c r="O132" i="8"/>
  <c r="O133" i="8"/>
  <c r="O134" i="8"/>
  <c r="O135" i="8"/>
  <c r="O136" i="8"/>
  <c r="O137" i="8"/>
  <c r="R137" i="8" s="1"/>
  <c r="O138" i="8"/>
  <c r="O139" i="8"/>
  <c r="O140" i="8"/>
  <c r="O141" i="8"/>
  <c r="O142" i="8"/>
  <c r="O143" i="8"/>
  <c r="O144" i="8"/>
  <c r="O145" i="8"/>
  <c r="O146" i="8"/>
  <c r="R146" i="8" s="1"/>
  <c r="O147" i="8"/>
  <c r="O148" i="8"/>
  <c r="O149" i="8"/>
  <c r="O150" i="8"/>
  <c r="O151" i="8"/>
  <c r="O152" i="8"/>
  <c r="O153" i="8"/>
  <c r="R153" i="8" s="1"/>
  <c r="O154" i="8"/>
  <c r="O155" i="8"/>
  <c r="O156" i="8"/>
  <c r="O157" i="8"/>
  <c r="V158" i="5" s="1"/>
  <c r="O158" i="8"/>
  <c r="O159" i="8"/>
  <c r="O165" i="8"/>
  <c r="O166" i="8"/>
  <c r="R166" i="8" s="1"/>
  <c r="O167" i="8"/>
  <c r="O168" i="8"/>
  <c r="O169" i="8"/>
  <c r="O170" i="8"/>
  <c r="O171" i="8"/>
  <c r="O172" i="8"/>
  <c r="O173" i="8"/>
  <c r="O174" i="8"/>
  <c r="R174" i="8" s="1"/>
  <c r="AC161" i="5"/>
  <c r="AC162" i="5"/>
  <c r="AC163" i="5"/>
  <c r="AC164" i="5"/>
  <c r="AC165" i="5"/>
  <c r="E3" i="10"/>
  <c r="F3" i="10" s="1"/>
  <c r="E4" i="10"/>
  <c r="F4" i="10" s="1"/>
  <c r="E5" i="10"/>
  <c r="F5" i="10" s="1"/>
  <c r="E6" i="10"/>
  <c r="F6" i="10" s="1"/>
  <c r="E7" i="10"/>
  <c r="F7" i="10" s="1"/>
  <c r="E8" i="10"/>
  <c r="F8" i="10" s="1"/>
  <c r="E9" i="10"/>
  <c r="F9" i="10" s="1"/>
  <c r="E10" i="10"/>
  <c r="E11" i="10"/>
  <c r="F11" i="10" s="1"/>
  <c r="E12" i="10"/>
  <c r="F12" i="10" s="1"/>
  <c r="E13" i="10"/>
  <c r="F13" i="10" s="1"/>
  <c r="E14" i="10"/>
  <c r="F14" i="10" s="1"/>
  <c r="E15" i="10"/>
  <c r="F15" i="10" s="1"/>
  <c r="E16" i="10"/>
  <c r="F16" i="10" s="1"/>
  <c r="E17" i="10"/>
  <c r="F17" i="10" s="1"/>
  <c r="E18" i="10"/>
  <c r="F18" i="10" s="1"/>
  <c r="E19" i="10"/>
  <c r="F19" i="10" s="1"/>
  <c r="E20" i="10"/>
  <c r="F20" i="10" s="1"/>
  <c r="E21" i="10"/>
  <c r="F21" i="10" s="1"/>
  <c r="E22" i="10"/>
  <c r="F22" i="10" s="1"/>
  <c r="E23" i="10"/>
  <c r="F23" i="10" s="1"/>
  <c r="E24" i="10"/>
  <c r="F24" i="10" s="1"/>
  <c r="E25" i="10"/>
  <c r="F25" i="10" s="1"/>
  <c r="E26" i="10"/>
  <c r="F26" i="10" s="1"/>
  <c r="E27" i="10"/>
  <c r="F27" i="10" s="1"/>
  <c r="E28" i="10"/>
  <c r="F28" i="10" s="1"/>
  <c r="E29" i="10"/>
  <c r="F29" i="10" s="1"/>
  <c r="E30" i="10"/>
  <c r="F30" i="10" s="1"/>
  <c r="E31" i="10"/>
  <c r="F31" i="10" s="1"/>
  <c r="E32" i="10"/>
  <c r="F32" i="10" s="1"/>
  <c r="E33" i="10"/>
  <c r="F33" i="10" s="1"/>
  <c r="E34" i="10"/>
  <c r="F34" i="10" s="1"/>
  <c r="E35" i="10"/>
  <c r="F35" i="10" s="1"/>
  <c r="E36" i="10"/>
  <c r="F36" i="10" s="1"/>
  <c r="E37" i="10"/>
  <c r="F37" i="10" s="1"/>
  <c r="E38" i="10"/>
  <c r="F38" i="10" s="1"/>
  <c r="E39" i="10"/>
  <c r="F39" i="10" s="1"/>
  <c r="E40" i="10"/>
  <c r="F40" i="10" s="1"/>
  <c r="E41" i="10"/>
  <c r="F41" i="10" s="1"/>
  <c r="E42" i="10"/>
  <c r="F42" i="10" s="1"/>
  <c r="E43" i="10"/>
  <c r="F43" i="10" s="1"/>
  <c r="E44" i="10"/>
  <c r="F44" i="10" s="1"/>
  <c r="E45" i="10"/>
  <c r="F45" i="10" s="1"/>
  <c r="E46" i="10"/>
  <c r="F46" i="10" s="1"/>
  <c r="E47" i="10"/>
  <c r="F47" i="10" s="1"/>
  <c r="E48" i="10"/>
  <c r="F48" i="10" s="1"/>
  <c r="E49" i="10"/>
  <c r="F49" i="10" s="1"/>
  <c r="E50" i="10"/>
  <c r="F50" i="10" s="1"/>
  <c r="E51" i="10"/>
  <c r="F51" i="10" s="1"/>
  <c r="E52" i="10"/>
  <c r="F52" i="10" s="1"/>
  <c r="E53" i="10"/>
  <c r="F53" i="10" s="1"/>
  <c r="E54" i="10"/>
  <c r="F54" i="10" s="1"/>
  <c r="E55" i="10"/>
  <c r="F55" i="10" s="1"/>
  <c r="E56" i="10"/>
  <c r="F56" i="10" s="1"/>
  <c r="E57" i="10"/>
  <c r="F57" i="10" s="1"/>
  <c r="E58" i="10"/>
  <c r="F58" i="10" s="1"/>
  <c r="E59" i="10"/>
  <c r="F59" i="10" s="1"/>
  <c r="E60" i="10"/>
  <c r="F60" i="10" s="1"/>
  <c r="E61" i="10"/>
  <c r="F61" i="10" s="1"/>
  <c r="E62" i="10"/>
  <c r="F62" i="10" s="1"/>
  <c r="E63" i="10"/>
  <c r="F63" i="10" s="1"/>
  <c r="E64" i="10"/>
  <c r="F64" i="10" s="1"/>
  <c r="E65" i="10"/>
  <c r="F65" i="10" s="1"/>
  <c r="E66" i="10"/>
  <c r="F66" i="10" s="1"/>
  <c r="E67" i="10"/>
  <c r="F67" i="10" s="1"/>
  <c r="E68" i="10"/>
  <c r="F68" i="10" s="1"/>
  <c r="E69" i="10"/>
  <c r="F69" i="10" s="1"/>
  <c r="E70" i="10"/>
  <c r="F70" i="10" s="1"/>
  <c r="E71" i="10"/>
  <c r="F71" i="10" s="1"/>
  <c r="E72" i="10"/>
  <c r="F72" i="10" s="1"/>
  <c r="E73" i="10"/>
  <c r="F73" i="10" s="1"/>
  <c r="E74" i="10"/>
  <c r="F74" i="10" s="1"/>
  <c r="E75" i="10"/>
  <c r="F75" i="10" s="1"/>
  <c r="E76" i="10"/>
  <c r="F76" i="10" s="1"/>
  <c r="E77" i="10"/>
  <c r="F77" i="10" s="1"/>
  <c r="E78" i="10"/>
  <c r="F78" i="10" s="1"/>
  <c r="E79" i="10"/>
  <c r="F79" i="10" s="1"/>
  <c r="E80" i="10"/>
  <c r="F80" i="10" s="1"/>
  <c r="E81" i="10"/>
  <c r="F81" i="10" s="1"/>
  <c r="E82" i="10"/>
  <c r="F82" i="10" s="1"/>
  <c r="E83" i="10"/>
  <c r="F83" i="10" s="1"/>
  <c r="E84" i="10"/>
  <c r="F84" i="10" s="1"/>
  <c r="E85" i="10"/>
  <c r="F85" i="10" s="1"/>
  <c r="E86" i="10"/>
  <c r="F86" i="10" s="1"/>
  <c r="E87" i="10"/>
  <c r="F87" i="10" s="1"/>
  <c r="E88" i="10"/>
  <c r="F88" i="10" s="1"/>
  <c r="E89" i="10"/>
  <c r="F89" i="10" s="1"/>
  <c r="E90" i="10"/>
  <c r="F90" i="10" s="1"/>
  <c r="E91" i="10"/>
  <c r="F91" i="10" s="1"/>
  <c r="E92" i="10"/>
  <c r="F92" i="10" s="1"/>
  <c r="E93" i="10"/>
  <c r="F93" i="10" s="1"/>
  <c r="E94" i="10"/>
  <c r="F94" i="10" s="1"/>
  <c r="E95" i="10"/>
  <c r="F95" i="10" s="1"/>
  <c r="E96" i="10"/>
  <c r="F96" i="10" s="1"/>
  <c r="E97" i="10"/>
  <c r="F97" i="10" s="1"/>
  <c r="E98" i="10"/>
  <c r="F98" i="10" s="1"/>
  <c r="E99" i="10"/>
  <c r="F99" i="10" s="1"/>
  <c r="E100" i="10"/>
  <c r="F100" i="10" s="1"/>
  <c r="E101" i="10"/>
  <c r="F101" i="10" s="1"/>
  <c r="E102" i="10"/>
  <c r="F102" i="10" s="1"/>
  <c r="E103" i="10"/>
  <c r="F103" i="10" s="1"/>
  <c r="E104" i="10"/>
  <c r="F104" i="10" s="1"/>
  <c r="E105" i="10"/>
  <c r="F105" i="10" s="1"/>
  <c r="E106" i="10"/>
  <c r="F106" i="10" s="1"/>
  <c r="E107" i="10"/>
  <c r="F107" i="10" s="1"/>
  <c r="E108" i="10"/>
  <c r="F108" i="10" s="1"/>
  <c r="E109" i="10"/>
  <c r="F109" i="10" s="1"/>
  <c r="E110" i="10"/>
  <c r="F110" i="10" s="1"/>
  <c r="E111" i="10"/>
  <c r="F111" i="10" s="1"/>
  <c r="E112" i="10"/>
  <c r="F112" i="10" s="1"/>
  <c r="E113" i="10"/>
  <c r="F113" i="10" s="1"/>
  <c r="E114" i="10"/>
  <c r="F114" i="10" s="1"/>
  <c r="E115" i="10"/>
  <c r="F115" i="10" s="1"/>
  <c r="E116" i="10"/>
  <c r="F116" i="10" s="1"/>
  <c r="E2" i="10"/>
  <c r="F2" i="10" s="1"/>
  <c r="BX178" i="3"/>
  <c r="BY178" i="3"/>
  <c r="BZ178" i="3"/>
  <c r="CA178" i="3"/>
  <c r="CB178" i="3"/>
  <c r="CC178" i="3"/>
  <c r="CE178" i="3"/>
  <c r="CF178" i="3"/>
  <c r="CG178" i="3"/>
  <c r="CH178" i="3"/>
  <c r="CI178" i="3"/>
  <c r="CJ178" i="3"/>
  <c r="BW178" i="3"/>
  <c r="B162" i="3"/>
  <c r="B163" i="3"/>
  <c r="B164" i="3"/>
  <c r="B165" i="3"/>
  <c r="B166" i="3"/>
  <c r="D181" i="3"/>
  <c r="A7" i="1"/>
  <c r="G4" i="2" s="1"/>
  <c r="E92" i="6" s="1"/>
  <c r="M177" i="4"/>
  <c r="G177" i="4"/>
  <c r="B17" i="2"/>
  <c r="P3" i="8"/>
  <c r="P4" i="8"/>
  <c r="P5" i="8"/>
  <c r="P6" i="8"/>
  <c r="P8" i="8"/>
  <c r="P11" i="8"/>
  <c r="P12" i="8"/>
  <c r="P14" i="8"/>
  <c r="P15" i="8"/>
  <c r="P16" i="8"/>
  <c r="P19" i="8"/>
  <c r="P20" i="8"/>
  <c r="P23" i="8"/>
  <c r="P24" i="8"/>
  <c r="P25" i="8"/>
  <c r="P28" i="8"/>
  <c r="P29" i="8"/>
  <c r="P30" i="8"/>
  <c r="P31" i="8"/>
  <c r="P32" i="8"/>
  <c r="P33" i="8"/>
  <c r="P34" i="8"/>
  <c r="P35" i="8"/>
  <c r="P36" i="8"/>
  <c r="P38" i="8"/>
  <c r="P39" i="8"/>
  <c r="P41" i="8"/>
  <c r="P44" i="8"/>
  <c r="P45" i="8"/>
  <c r="P46" i="8"/>
  <c r="P48" i="8"/>
  <c r="P49" i="8"/>
  <c r="P52" i="8"/>
  <c r="P53" i="8"/>
  <c r="P54" i="8"/>
  <c r="P55" i="8"/>
  <c r="P56" i="8"/>
  <c r="P57" i="8"/>
  <c r="P59" i="8"/>
  <c r="P60" i="8"/>
  <c r="P62" i="8"/>
  <c r="P63" i="8"/>
  <c r="P64" i="8"/>
  <c r="P66" i="8"/>
  <c r="P67" i="8"/>
  <c r="P68" i="8"/>
  <c r="P69" i="8"/>
  <c r="P70" i="8"/>
  <c r="P71" i="8"/>
  <c r="P72" i="8"/>
  <c r="P74" i="8"/>
  <c r="P76" i="8"/>
  <c r="P77" i="8"/>
  <c r="P78" i="8"/>
  <c r="P79" i="8"/>
  <c r="P80" i="8"/>
  <c r="P81" i="8"/>
  <c r="P82" i="8"/>
  <c r="P83" i="8"/>
  <c r="P84" i="8"/>
  <c r="P85" i="8"/>
  <c r="P86" i="8"/>
  <c r="P87" i="8"/>
  <c r="P89" i="8"/>
  <c r="P90" i="8"/>
  <c r="P92" i="8"/>
  <c r="P93" i="8"/>
  <c r="P94" i="8"/>
  <c r="P95" i="8"/>
  <c r="P96" i="8"/>
  <c r="P97" i="8"/>
  <c r="P98" i="8"/>
  <c r="P100" i="8"/>
  <c r="P101" i="8"/>
  <c r="P102" i="8"/>
  <c r="P103" i="8"/>
  <c r="P104" i="8"/>
  <c r="P105" i="8"/>
  <c r="P107" i="8"/>
  <c r="P108" i="8"/>
  <c r="P109" i="8"/>
  <c r="P110" i="8"/>
  <c r="P111"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5" i="8"/>
  <c r="P166" i="8"/>
  <c r="P167" i="8"/>
  <c r="P168" i="8"/>
  <c r="P169" i="8"/>
  <c r="P170" i="8"/>
  <c r="P171" i="8"/>
  <c r="P172" i="8"/>
  <c r="P173" i="8"/>
  <c r="P174" i="8"/>
  <c r="P2" i="8"/>
  <c r="Q2" i="8"/>
  <c r="T7" i="8"/>
  <c r="Q3" i="8"/>
  <c r="Q4" i="8"/>
  <c r="R4" i="8" s="1"/>
  <c r="Q5" i="8"/>
  <c r="R5" i="8" s="1"/>
  <c r="Q6" i="8"/>
  <c r="Q8" i="8"/>
  <c r="Q11" i="8"/>
  <c r="R11" i="8" s="1"/>
  <c r="Q12" i="8"/>
  <c r="Q14" i="8"/>
  <c r="R14" i="8" s="1"/>
  <c r="Q15" i="8"/>
  <c r="R15" i="8" s="1"/>
  <c r="Q16" i="8"/>
  <c r="R16" i="8" s="1"/>
  <c r="Q19" i="8"/>
  <c r="R19" i="8" s="1"/>
  <c r="Q20" i="8"/>
  <c r="Q23" i="8"/>
  <c r="Q24" i="8"/>
  <c r="R24" i="8" s="1"/>
  <c r="Q25" i="8"/>
  <c r="Q28" i="8"/>
  <c r="R28" i="8" s="1"/>
  <c r="Q29" i="8"/>
  <c r="Q30" i="8"/>
  <c r="R30" i="8" s="1"/>
  <c r="Q31" i="8"/>
  <c r="Q32" i="8"/>
  <c r="R32" i="8" s="1"/>
  <c r="Q33" i="8"/>
  <c r="Q34" i="8"/>
  <c r="R34" i="8" s="1"/>
  <c r="Q35" i="8"/>
  <c r="Q36" i="8"/>
  <c r="Q38" i="8"/>
  <c r="Q39" i="8"/>
  <c r="R39" i="8" s="1"/>
  <c r="Q41" i="8"/>
  <c r="Q44" i="8"/>
  <c r="Q45" i="8"/>
  <c r="Q46" i="8"/>
  <c r="Q48" i="8"/>
  <c r="Q49" i="8"/>
  <c r="Q52" i="8"/>
  <c r="Q53" i="8"/>
  <c r="R53" i="8" s="1"/>
  <c r="Q54" i="8"/>
  <c r="Q55" i="8"/>
  <c r="Q56" i="8"/>
  <c r="Q57" i="8"/>
  <c r="Q59" i="8"/>
  <c r="Q60" i="8"/>
  <c r="Q62" i="8"/>
  <c r="Q63" i="8"/>
  <c r="R63" i="8" s="1"/>
  <c r="Q64" i="8"/>
  <c r="Q66" i="8"/>
  <c r="Q67" i="8"/>
  <c r="Q68" i="8"/>
  <c r="Q69" i="8"/>
  <c r="R69" i="8" s="1"/>
  <c r="Q70" i="8"/>
  <c r="Q71" i="8"/>
  <c r="Q72" i="8"/>
  <c r="R72" i="8" s="1"/>
  <c r="Q74" i="8"/>
  <c r="Q76" i="8"/>
  <c r="Q77" i="8"/>
  <c r="Q78" i="8"/>
  <c r="R78" i="8" s="1"/>
  <c r="Q79" i="8"/>
  <c r="R79" i="8" s="1"/>
  <c r="Q80" i="8"/>
  <c r="Q81" i="8"/>
  <c r="Q82" i="8"/>
  <c r="Q83" i="8"/>
  <c r="Q84" i="8"/>
  <c r="Q85" i="8"/>
  <c r="Q86" i="8"/>
  <c r="R86" i="8" s="1"/>
  <c r="Q87" i="8"/>
  <c r="R87" i="8" s="1"/>
  <c r="Q89" i="8"/>
  <c r="Q90" i="8"/>
  <c r="Q92" i="8"/>
  <c r="R92" i="8" s="1"/>
  <c r="Q93" i="8"/>
  <c r="Q94" i="8"/>
  <c r="Q95" i="8"/>
  <c r="Q96" i="8"/>
  <c r="Q97" i="8"/>
  <c r="Q98" i="8"/>
  <c r="Q100" i="8"/>
  <c r="Q101" i="8"/>
  <c r="R101" i="8" s="1"/>
  <c r="Q102" i="8"/>
  <c r="Q103" i="8"/>
  <c r="Q104" i="8"/>
  <c r="Q105" i="8"/>
  <c r="Q107" i="8"/>
  <c r="Q108" i="8"/>
  <c r="Q109" i="8"/>
  <c r="Q110" i="8"/>
  <c r="R110" i="8" s="1"/>
  <c r="Q111" i="8"/>
  <c r="Q113" i="8"/>
  <c r="Q114" i="8"/>
  <c r="Q115" i="8"/>
  <c r="Q116" i="8"/>
  <c r="Q117" i="8"/>
  <c r="Q118" i="8"/>
  <c r="Q119" i="8"/>
  <c r="Q120" i="8"/>
  <c r="Q121" i="8"/>
  <c r="Q122" i="8"/>
  <c r="Q123" i="8"/>
  <c r="R123" i="8" s="1"/>
  <c r="Q124" i="8"/>
  <c r="R124" i="8" s="1"/>
  <c r="Q125" i="8"/>
  <c r="Q126" i="8"/>
  <c r="Q127" i="8"/>
  <c r="R127" i="8" s="1"/>
  <c r="Q128" i="8"/>
  <c r="Q129" i="8"/>
  <c r="Q130" i="8"/>
  <c r="Q131" i="8"/>
  <c r="R131" i="8" s="1"/>
  <c r="Q132" i="8"/>
  <c r="Q133" i="8"/>
  <c r="Q134" i="8"/>
  <c r="Q135" i="8"/>
  <c r="R135" i="8" s="1"/>
  <c r="Q136" i="8"/>
  <c r="R136" i="8" s="1"/>
  <c r="Q137" i="8"/>
  <c r="Q138" i="8"/>
  <c r="Q139" i="8"/>
  <c r="R139" i="8" s="1"/>
  <c r="Q140" i="8"/>
  <c r="Q141" i="8"/>
  <c r="Q142" i="8"/>
  <c r="Q143" i="8"/>
  <c r="R143" i="8" s="1"/>
  <c r="Q144" i="8"/>
  <c r="Q145" i="8"/>
  <c r="Q146" i="8"/>
  <c r="Q147" i="8"/>
  <c r="R147" i="8" s="1"/>
  <c r="Q148" i="8"/>
  <c r="Q149" i="8"/>
  <c r="Q150" i="8"/>
  <c r="Q151" i="8"/>
  <c r="Q152" i="8"/>
  <c r="Q153" i="8"/>
  <c r="Q154" i="8"/>
  <c r="Q155" i="8"/>
  <c r="Q156" i="8"/>
  <c r="R156" i="8" s="1"/>
  <c r="Q157" i="8"/>
  <c r="Q158" i="8"/>
  <c r="Q159" i="8"/>
  <c r="R159" i="8" s="1"/>
  <c r="Q165" i="8"/>
  <c r="Q166" i="8"/>
  <c r="Q167" i="8"/>
  <c r="Q168" i="8"/>
  <c r="Q169" i="8"/>
  <c r="Q170" i="8"/>
  <c r="Q171" i="8"/>
  <c r="Q172" i="8"/>
  <c r="R172" i="8" s="1"/>
  <c r="Q173" i="8"/>
  <c r="Q174" i="8"/>
  <c r="AC31" i="6"/>
  <c r="AC30" i="6"/>
  <c r="AA10" i="6"/>
  <c r="L4" i="2"/>
  <c r="D177" i="4"/>
  <c r="K29" i="4"/>
  <c r="K36" i="4"/>
  <c r="K132" i="4"/>
  <c r="K49" i="4"/>
  <c r="K55" i="4"/>
  <c r="K58" i="4"/>
  <c r="K37" i="4"/>
  <c r="K52" i="4"/>
  <c r="K91" i="4"/>
  <c r="K33" i="4"/>
  <c r="K26" i="4"/>
  <c r="K25" i="4"/>
  <c r="K77" i="4"/>
  <c r="K67" i="4"/>
  <c r="K128" i="4"/>
  <c r="K75" i="4"/>
  <c r="K115" i="4"/>
  <c r="K98" i="4"/>
  <c r="K27" i="4"/>
  <c r="K24" i="4"/>
  <c r="K85" i="4"/>
  <c r="K6" i="4"/>
  <c r="K30" i="4"/>
  <c r="K23" i="4"/>
  <c r="K71" i="4"/>
  <c r="K93" i="4"/>
  <c r="K87" i="4"/>
  <c r="K31" i="4"/>
  <c r="K65" i="4"/>
  <c r="K94" i="4"/>
  <c r="K104" i="4"/>
  <c r="K127" i="4"/>
  <c r="K28" i="4"/>
  <c r="K72" i="4"/>
  <c r="K32" i="4"/>
  <c r="K62" i="4"/>
  <c r="K61" i="4"/>
  <c r="K50" i="4"/>
  <c r="K90" i="4"/>
  <c r="K53" i="4"/>
  <c r="K83" i="4"/>
  <c r="K113" i="4"/>
  <c r="K112" i="4"/>
  <c r="K86" i="4"/>
  <c r="K99" i="4"/>
  <c r="K95" i="4"/>
  <c r="K123" i="4"/>
  <c r="K60" i="4"/>
  <c r="K124" i="4"/>
  <c r="K44" i="4"/>
  <c r="K3" i="4"/>
  <c r="K57" i="4"/>
  <c r="K88" i="4"/>
  <c r="K10" i="4"/>
  <c r="K40" i="4"/>
  <c r="K126" i="4"/>
  <c r="K54" i="4"/>
  <c r="K138" i="4"/>
  <c r="K81" i="4"/>
  <c r="K78" i="4"/>
  <c r="K18" i="4"/>
  <c r="K79" i="4"/>
  <c r="K131" i="4"/>
  <c r="K146" i="4"/>
  <c r="K139" i="4"/>
  <c r="K168" i="4"/>
  <c r="K147" i="4"/>
  <c r="K21" i="4"/>
  <c r="K103" i="4"/>
  <c r="K8" i="4"/>
  <c r="K133" i="4"/>
  <c r="K16" i="4"/>
  <c r="K43" i="4"/>
  <c r="K145" i="4"/>
  <c r="K20" i="4"/>
  <c r="K125" i="4"/>
  <c r="K143" i="4"/>
  <c r="K135" i="4"/>
  <c r="K101" i="4"/>
  <c r="K7" i="4"/>
  <c r="K118" i="4"/>
  <c r="K141" i="4"/>
  <c r="K35" i="4"/>
  <c r="K102" i="4"/>
  <c r="K160" i="4"/>
  <c r="K158" i="4"/>
  <c r="K59" i="4"/>
  <c r="K161" i="4"/>
  <c r="K51" i="4"/>
  <c r="K66" i="4"/>
  <c r="K105" i="4"/>
  <c r="K56" i="4"/>
  <c r="K89" i="4"/>
  <c r="K22" i="4"/>
  <c r="K39" i="4"/>
  <c r="K117" i="4"/>
  <c r="K74" i="4"/>
  <c r="K70" i="4"/>
  <c r="K96" i="4"/>
  <c r="K68" i="4"/>
  <c r="K47" i="4"/>
  <c r="K148" i="4"/>
  <c r="K41" i="4"/>
  <c r="K164" i="4"/>
  <c r="K159" i="4"/>
  <c r="K170" i="4"/>
  <c r="K109" i="4"/>
  <c r="K155" i="4"/>
  <c r="K110" i="4"/>
  <c r="K114" i="4"/>
  <c r="K163" i="4"/>
  <c r="K107" i="4"/>
  <c r="K38" i="4"/>
  <c r="K76" i="4"/>
  <c r="K42" i="4"/>
  <c r="K5" i="4"/>
  <c r="K130" i="4"/>
  <c r="K140" i="4"/>
  <c r="K151" i="4"/>
  <c r="K4" i="4"/>
  <c r="K111" i="4"/>
  <c r="K150" i="4"/>
  <c r="K153" i="4"/>
  <c r="K92" i="4"/>
  <c r="K17" i="4"/>
  <c r="K63" i="4"/>
  <c r="K84" i="4"/>
  <c r="K34" i="4"/>
  <c r="K165" i="4"/>
  <c r="K121" i="4"/>
  <c r="K45" i="4"/>
  <c r="K108" i="4"/>
  <c r="K167" i="4"/>
  <c r="K134" i="4"/>
  <c r="K122" i="4"/>
  <c r="K100" i="4"/>
  <c r="K157" i="4"/>
  <c r="K106" i="4"/>
  <c r="K166" i="4"/>
  <c r="K173" i="4"/>
  <c r="K48" i="4"/>
  <c r="K97" i="4"/>
  <c r="K144" i="4"/>
  <c r="K172" i="4"/>
  <c r="K9" i="4"/>
  <c r="K169" i="4"/>
  <c r="K154" i="4"/>
  <c r="K19" i="4"/>
  <c r="K64" i="4"/>
  <c r="K82" i="4"/>
  <c r="K73" i="4"/>
  <c r="K152" i="4"/>
  <c r="K149" i="4"/>
  <c r="K116" i="4"/>
  <c r="K120" i="4"/>
  <c r="K156" i="4"/>
  <c r="K137" i="4"/>
  <c r="K80" i="4"/>
  <c r="K129" i="4"/>
  <c r="K136" i="4"/>
  <c r="K171" i="4"/>
  <c r="K142" i="4"/>
  <c r="K69" i="4"/>
  <c r="K46" i="4"/>
  <c r="K162" i="4"/>
  <c r="K175" i="4"/>
  <c r="K174" i="4"/>
  <c r="C15" i="2"/>
  <c r="B19" i="2" s="1"/>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2" i="10"/>
  <c r="C17" i="2"/>
  <c r="B4" i="2"/>
  <c r="B13" i="2"/>
  <c r="P43" i="8"/>
  <c r="P7" i="8"/>
  <c r="P58" i="8"/>
  <c r="Q106" i="8"/>
  <c r="P106" i="8"/>
  <c r="Q91" i="8"/>
  <c r="P91" i="8"/>
  <c r="P40" i="8"/>
  <c r="Q88" i="8"/>
  <c r="P88" i="8"/>
  <c r="Q37" i="8"/>
  <c r="P37" i="8"/>
  <c r="Q17" i="8"/>
  <c r="P17" i="8"/>
  <c r="Q75" i="8"/>
  <c r="P75" i="8"/>
  <c r="Q51" i="8"/>
  <c r="P51" i="8"/>
  <c r="P42" i="8"/>
  <c r="Q27" i="8"/>
  <c r="P27" i="8"/>
  <c r="Q13" i="8"/>
  <c r="P13" i="8"/>
  <c r="Q112" i="8"/>
  <c r="P112" i="8"/>
  <c r="Q99" i="8"/>
  <c r="P99" i="8"/>
  <c r="Q26" i="8"/>
  <c r="P26" i="8"/>
  <c r="Q10" i="8"/>
  <c r="P10" i="8"/>
  <c r="Q61" i="8"/>
  <c r="P61" i="8"/>
  <c r="Q73" i="8"/>
  <c r="P73" i="8"/>
  <c r="Q65" i="8"/>
  <c r="P65" i="8"/>
  <c r="P50" i="8"/>
  <c r="Q22" i="8"/>
  <c r="P22" i="8"/>
  <c r="Q9" i="8"/>
  <c r="P9" i="8"/>
  <c r="Q21" i="8"/>
  <c r="P21" i="8"/>
  <c r="Q47" i="8"/>
  <c r="P47" i="8"/>
  <c r="Q18" i="8"/>
  <c r="P18" i="8"/>
  <c r="Q42" i="8"/>
  <c r="Q7" i="8"/>
  <c r="Q58" i="8"/>
  <c r="Q50" i="8"/>
  <c r="Q40" i="8"/>
  <c r="BB4" i="3"/>
  <c r="BB66" i="3"/>
  <c r="P9" i="2"/>
  <c r="C174" i="9"/>
  <c r="C173" i="9"/>
  <c r="C172" i="9"/>
  <c r="C171" i="9"/>
  <c r="C170" i="9"/>
  <c r="C169" i="9"/>
  <c r="C168" i="9"/>
  <c r="C167" i="9"/>
  <c r="C166" i="9"/>
  <c r="C165"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C1" i="9"/>
  <c r="B1" i="9"/>
  <c r="A1" i="9"/>
  <c r="P5" i="2"/>
  <c r="Q3" i="2"/>
  <c r="R173" i="8"/>
  <c r="R167" i="8"/>
  <c r="R165" i="8"/>
  <c r="R154" i="8"/>
  <c r="R152" i="8"/>
  <c r="R148" i="8"/>
  <c r="R144" i="8"/>
  <c r="R140" i="8"/>
  <c r="R138" i="8"/>
  <c r="R132" i="8"/>
  <c r="R130" i="8"/>
  <c r="R128" i="8"/>
  <c r="R122" i="8"/>
  <c r="R114" i="8"/>
  <c r="R107" i="8"/>
  <c r="R102" i="8"/>
  <c r="R95" i="8"/>
  <c r="R93" i="8"/>
  <c r="R85" i="8"/>
  <c r="R83" i="8"/>
  <c r="R77" i="8"/>
  <c r="R74" i="8"/>
  <c r="R67" i="8"/>
  <c r="R59" i="8"/>
  <c r="R54" i="8"/>
  <c r="R48" i="8"/>
  <c r="R41" i="8"/>
  <c r="R33" i="8"/>
  <c r="R25" i="8"/>
  <c r="R23" i="8"/>
  <c r="R12" i="8"/>
  <c r="R8" i="8"/>
  <c r="R6" i="8"/>
  <c r="F11" i="8"/>
  <c r="H11" i="8" s="1"/>
  <c r="F16" i="8"/>
  <c r="H16" i="8"/>
  <c r="F20" i="8"/>
  <c r="H20" i="8" s="1"/>
  <c r="F25" i="8"/>
  <c r="H25" i="8" s="1"/>
  <c r="F26" i="8"/>
  <c r="H26" i="8" s="1"/>
  <c r="F28" i="8"/>
  <c r="H28" i="8" s="1"/>
  <c r="F30" i="8"/>
  <c r="F34" i="8"/>
  <c r="H34" i="8" s="1"/>
  <c r="F37" i="8"/>
  <c r="H37" i="8" s="1"/>
  <c r="F38" i="8"/>
  <c r="H38" i="8" s="1"/>
  <c r="F41" i="8"/>
  <c r="H41" i="8" s="1"/>
  <c r="F42" i="8"/>
  <c r="H42" i="8" s="1"/>
  <c r="H30" i="8"/>
  <c r="BB176" i="3"/>
  <c r="AZ176" i="3"/>
  <c r="BB175" i="3"/>
  <c r="AZ175" i="3"/>
  <c r="BB174" i="3"/>
  <c r="AZ174" i="3"/>
  <c r="BB173" i="3"/>
  <c r="AZ173" i="3"/>
  <c r="BB172" i="3"/>
  <c r="AZ172" i="3"/>
  <c r="BB171" i="3"/>
  <c r="AZ171" i="3"/>
  <c r="BB170" i="3"/>
  <c r="AZ170" i="3"/>
  <c r="BB169" i="3"/>
  <c r="AZ169" i="3"/>
  <c r="BB168" i="3"/>
  <c r="AZ168" i="3"/>
  <c r="BB167" i="3"/>
  <c r="AZ167" i="3"/>
  <c r="BB161" i="3"/>
  <c r="AZ161" i="3"/>
  <c r="BB160" i="3"/>
  <c r="AZ160" i="3"/>
  <c r="BB159" i="3"/>
  <c r="AZ159" i="3"/>
  <c r="BB158" i="3"/>
  <c r="AZ158" i="3"/>
  <c r="BB157" i="3"/>
  <c r="AZ157" i="3"/>
  <c r="BB156" i="3"/>
  <c r="AZ156" i="3"/>
  <c r="BB155" i="3"/>
  <c r="AZ155" i="3"/>
  <c r="BB154" i="3"/>
  <c r="AZ154" i="3"/>
  <c r="BB153" i="3"/>
  <c r="AZ153" i="3"/>
  <c r="BB152" i="3"/>
  <c r="AZ152" i="3"/>
  <c r="BB151" i="3"/>
  <c r="AZ151" i="3"/>
  <c r="BB150" i="3"/>
  <c r="AZ150" i="3"/>
  <c r="BB149" i="3"/>
  <c r="AZ149" i="3"/>
  <c r="BB148" i="3"/>
  <c r="AZ148" i="3"/>
  <c r="BB147" i="3"/>
  <c r="AZ147" i="3"/>
  <c r="BB146" i="3"/>
  <c r="AZ146" i="3"/>
  <c r="BB145" i="3"/>
  <c r="AZ145" i="3"/>
  <c r="BB144" i="3"/>
  <c r="AZ144" i="3"/>
  <c r="BB143" i="3"/>
  <c r="AZ143" i="3"/>
  <c r="BB142" i="3"/>
  <c r="AZ142" i="3"/>
  <c r="BB141" i="3"/>
  <c r="AZ141" i="3"/>
  <c r="BB140" i="3"/>
  <c r="AZ140" i="3"/>
  <c r="BB139" i="3"/>
  <c r="AZ139" i="3"/>
  <c r="BB138" i="3"/>
  <c r="AZ138" i="3"/>
  <c r="BB137" i="3"/>
  <c r="AZ137" i="3"/>
  <c r="BB136" i="3"/>
  <c r="AZ136" i="3"/>
  <c r="BB135" i="3"/>
  <c r="AZ135" i="3"/>
  <c r="BB134" i="3"/>
  <c r="AZ134" i="3"/>
  <c r="BB133" i="3"/>
  <c r="AZ133" i="3"/>
  <c r="BB132" i="3"/>
  <c r="AZ132" i="3"/>
  <c r="BB131" i="3"/>
  <c r="AZ131" i="3"/>
  <c r="BB130" i="3"/>
  <c r="AZ130" i="3"/>
  <c r="BB129" i="3"/>
  <c r="AZ129" i="3"/>
  <c r="BB128" i="3"/>
  <c r="AZ128" i="3"/>
  <c r="BB127" i="3"/>
  <c r="AZ127" i="3"/>
  <c r="BB126" i="3"/>
  <c r="AZ126" i="3"/>
  <c r="BB125" i="3"/>
  <c r="AZ125" i="3"/>
  <c r="BB124" i="3"/>
  <c r="AZ124" i="3"/>
  <c r="BB123" i="3"/>
  <c r="AZ123" i="3"/>
  <c r="BB122" i="3"/>
  <c r="AZ122" i="3"/>
  <c r="BB121" i="3"/>
  <c r="AZ121" i="3"/>
  <c r="BB120" i="3"/>
  <c r="AZ120" i="3"/>
  <c r="BB119" i="3"/>
  <c r="AZ119" i="3"/>
  <c r="BB118" i="3"/>
  <c r="AZ118" i="3"/>
  <c r="BB117" i="3"/>
  <c r="AZ117" i="3"/>
  <c r="BB116" i="3"/>
  <c r="AZ116" i="3"/>
  <c r="BB115" i="3"/>
  <c r="AZ115" i="3"/>
  <c r="BB114" i="3"/>
  <c r="AZ114" i="3"/>
  <c r="BB113" i="3"/>
  <c r="AZ113" i="3"/>
  <c r="BB112" i="3"/>
  <c r="AZ112" i="3"/>
  <c r="BB111" i="3"/>
  <c r="AZ111" i="3"/>
  <c r="BB110" i="3"/>
  <c r="AZ110" i="3"/>
  <c r="BB109" i="3"/>
  <c r="AZ109" i="3"/>
  <c r="BB108" i="3"/>
  <c r="AZ108" i="3"/>
  <c r="BB107" i="3"/>
  <c r="AZ107" i="3"/>
  <c r="BB106" i="3"/>
  <c r="AZ106" i="3"/>
  <c r="BB105" i="3"/>
  <c r="AZ105" i="3"/>
  <c r="BB104" i="3"/>
  <c r="AZ104" i="3"/>
  <c r="BB103" i="3"/>
  <c r="AZ103" i="3"/>
  <c r="BB102" i="3"/>
  <c r="AZ102" i="3"/>
  <c r="BB101" i="3"/>
  <c r="AZ101" i="3"/>
  <c r="BB100" i="3"/>
  <c r="AZ100" i="3"/>
  <c r="BB99" i="3"/>
  <c r="AZ99" i="3"/>
  <c r="BB98" i="3"/>
  <c r="AZ98" i="3"/>
  <c r="BB97" i="3"/>
  <c r="AZ97" i="3"/>
  <c r="BB96" i="3"/>
  <c r="AZ96" i="3"/>
  <c r="BB95" i="3"/>
  <c r="AZ95" i="3"/>
  <c r="BB94" i="3"/>
  <c r="AZ94" i="3"/>
  <c r="BB93" i="3"/>
  <c r="AZ93" i="3"/>
  <c r="BB92" i="3"/>
  <c r="AZ92" i="3"/>
  <c r="BB91" i="3"/>
  <c r="AZ91" i="3"/>
  <c r="BB90" i="3"/>
  <c r="AZ90" i="3"/>
  <c r="BB89" i="3"/>
  <c r="AZ89" i="3"/>
  <c r="BB88" i="3"/>
  <c r="AZ88" i="3"/>
  <c r="BB87" i="3"/>
  <c r="AZ87" i="3"/>
  <c r="BB86" i="3"/>
  <c r="AZ86" i="3"/>
  <c r="BB85" i="3"/>
  <c r="AZ85" i="3"/>
  <c r="BB84" i="3"/>
  <c r="AZ84" i="3"/>
  <c r="BB83" i="3"/>
  <c r="AZ83" i="3"/>
  <c r="BB82" i="3"/>
  <c r="AZ82" i="3"/>
  <c r="BB81" i="3"/>
  <c r="AZ81" i="3"/>
  <c r="BB80" i="3"/>
  <c r="AZ80" i="3"/>
  <c r="BB79" i="3"/>
  <c r="AZ79" i="3"/>
  <c r="BB78" i="3"/>
  <c r="AZ78" i="3"/>
  <c r="BB77" i="3"/>
  <c r="AZ77" i="3"/>
  <c r="BB76" i="3"/>
  <c r="AZ76" i="3"/>
  <c r="BB75" i="3"/>
  <c r="AZ75" i="3"/>
  <c r="BB74" i="3"/>
  <c r="AZ74" i="3"/>
  <c r="BB73" i="3"/>
  <c r="AZ73" i="3"/>
  <c r="BB72" i="3"/>
  <c r="AZ72" i="3"/>
  <c r="BB71" i="3"/>
  <c r="AZ71" i="3"/>
  <c r="BB70" i="3"/>
  <c r="AZ70" i="3"/>
  <c r="BB69" i="3"/>
  <c r="AZ69" i="3"/>
  <c r="BB68" i="3"/>
  <c r="AZ68" i="3"/>
  <c r="BB67" i="3"/>
  <c r="AZ67" i="3"/>
  <c r="AZ66" i="3"/>
  <c r="BB65" i="3"/>
  <c r="AZ65" i="3"/>
  <c r="BB64" i="3"/>
  <c r="AZ64" i="3"/>
  <c r="BB63" i="3"/>
  <c r="AZ63" i="3"/>
  <c r="BB62" i="3"/>
  <c r="AZ62" i="3"/>
  <c r="BB61" i="3"/>
  <c r="AZ61" i="3"/>
  <c r="BB60" i="3"/>
  <c r="AZ60" i="3"/>
  <c r="BB59" i="3"/>
  <c r="AZ59" i="3"/>
  <c r="BB58" i="3"/>
  <c r="AZ58" i="3"/>
  <c r="BB57" i="3"/>
  <c r="AZ57" i="3"/>
  <c r="BB56" i="3"/>
  <c r="AZ56" i="3"/>
  <c r="BB55" i="3"/>
  <c r="AZ55" i="3"/>
  <c r="BB54" i="3"/>
  <c r="AZ54" i="3"/>
  <c r="BB53" i="3"/>
  <c r="AZ53" i="3"/>
  <c r="BB52" i="3"/>
  <c r="AZ52" i="3"/>
  <c r="BB51" i="3"/>
  <c r="AZ51" i="3"/>
  <c r="BB50" i="3"/>
  <c r="AZ50" i="3"/>
  <c r="BB49" i="3"/>
  <c r="AZ49" i="3"/>
  <c r="BB48" i="3"/>
  <c r="AZ48" i="3"/>
  <c r="BB47" i="3"/>
  <c r="AZ47" i="3"/>
  <c r="BB46" i="3"/>
  <c r="AZ46" i="3"/>
  <c r="BB45" i="3"/>
  <c r="AZ45" i="3"/>
  <c r="BB44" i="3"/>
  <c r="AZ44" i="3"/>
  <c r="BB43" i="3"/>
  <c r="AZ43" i="3"/>
  <c r="BB42" i="3"/>
  <c r="AZ42" i="3"/>
  <c r="BB41" i="3"/>
  <c r="AZ41" i="3"/>
  <c r="BB40" i="3"/>
  <c r="AZ40" i="3"/>
  <c r="BB39" i="3"/>
  <c r="AZ39" i="3"/>
  <c r="BB38" i="3"/>
  <c r="AZ38" i="3"/>
  <c r="BB37" i="3"/>
  <c r="AZ37" i="3"/>
  <c r="BB36" i="3"/>
  <c r="AZ36" i="3"/>
  <c r="BB35" i="3"/>
  <c r="AZ35" i="3"/>
  <c r="BB34" i="3"/>
  <c r="AZ34" i="3"/>
  <c r="BB33" i="3"/>
  <c r="AZ33" i="3"/>
  <c r="BB32" i="3"/>
  <c r="AZ32" i="3"/>
  <c r="BB31" i="3"/>
  <c r="AZ31" i="3"/>
  <c r="BB30" i="3"/>
  <c r="AZ30" i="3"/>
  <c r="BB29" i="3"/>
  <c r="AZ29" i="3"/>
  <c r="BB28" i="3"/>
  <c r="AZ28" i="3"/>
  <c r="BB27" i="3"/>
  <c r="AZ27" i="3"/>
  <c r="BB26" i="3"/>
  <c r="AZ26" i="3"/>
  <c r="BB25" i="3"/>
  <c r="AZ25" i="3"/>
  <c r="BB24" i="3"/>
  <c r="AZ24" i="3"/>
  <c r="BB23" i="3"/>
  <c r="AZ23" i="3"/>
  <c r="BB22" i="3"/>
  <c r="AZ22" i="3"/>
  <c r="BB21" i="3"/>
  <c r="AZ21" i="3"/>
  <c r="BB20" i="3"/>
  <c r="AZ20" i="3"/>
  <c r="BB19" i="3"/>
  <c r="AZ19" i="3"/>
  <c r="BB18" i="3"/>
  <c r="AZ18" i="3"/>
  <c r="BB17" i="3"/>
  <c r="AZ17" i="3"/>
  <c r="BB16" i="3"/>
  <c r="AZ16" i="3"/>
  <c r="BB15" i="3"/>
  <c r="AZ15" i="3"/>
  <c r="BB14" i="3"/>
  <c r="AZ14" i="3"/>
  <c r="BB13" i="3"/>
  <c r="AZ13" i="3"/>
  <c r="BB12" i="3"/>
  <c r="AZ12" i="3"/>
  <c r="BB11" i="3"/>
  <c r="AZ11" i="3"/>
  <c r="BB10" i="3"/>
  <c r="AZ10" i="3"/>
  <c r="BB9" i="3"/>
  <c r="AZ9" i="3"/>
  <c r="BB8" i="3"/>
  <c r="AZ8" i="3"/>
  <c r="BB7" i="3"/>
  <c r="AZ7" i="3"/>
  <c r="BB6" i="3"/>
  <c r="AZ6" i="3"/>
  <c r="BB5" i="3"/>
  <c r="AZ5" i="3"/>
  <c r="AZ178" i="3" s="1"/>
  <c r="AZ4" i="3"/>
  <c r="E176" i="3"/>
  <c r="BA176" i="3"/>
  <c r="E175" i="3"/>
  <c r="BJ175" i="3" s="1"/>
  <c r="E174" i="3"/>
  <c r="BA174" i="3" s="1"/>
  <c r="E168" i="3"/>
  <c r="BA168" i="3"/>
  <c r="E160" i="3"/>
  <c r="E159" i="3"/>
  <c r="BA159" i="3"/>
  <c r="E158" i="3"/>
  <c r="AX158" i="3" s="1"/>
  <c r="E157" i="3"/>
  <c r="BA157" i="3" s="1"/>
  <c r="E156" i="3"/>
  <c r="E154" i="3"/>
  <c r="E152" i="3"/>
  <c r="E150" i="3"/>
  <c r="E148" i="3"/>
  <c r="E147" i="3"/>
  <c r="E146" i="3"/>
  <c r="E145" i="3"/>
  <c r="E144" i="3"/>
  <c r="BJ144" i="3" s="1"/>
  <c r="E143" i="3"/>
  <c r="AY143" i="3" s="1"/>
  <c r="BA143" i="3"/>
  <c r="E142" i="3"/>
  <c r="BA142" i="3"/>
  <c r="E141" i="3"/>
  <c r="BA141" i="3"/>
  <c r="E140" i="3"/>
  <c r="BA140" i="3" s="1"/>
  <c r="E139" i="3"/>
  <c r="E138" i="3"/>
  <c r="E137" i="3"/>
  <c r="E132" i="3"/>
  <c r="E173" i="3"/>
  <c r="E172" i="3"/>
  <c r="E171" i="3"/>
  <c r="BA171" i="3" s="1"/>
  <c r="E170" i="3"/>
  <c r="BA170" i="3" s="1"/>
  <c r="E169" i="3"/>
  <c r="E167" i="3"/>
  <c r="E161" i="3"/>
  <c r="AY161" i="3" s="1"/>
  <c r="E155" i="3"/>
  <c r="AY155" i="3" s="1"/>
  <c r="E153" i="3"/>
  <c r="BA153" i="3" s="1"/>
  <c r="E151" i="3"/>
  <c r="E149" i="3"/>
  <c r="BA149" i="3"/>
  <c r="E136" i="3"/>
  <c r="BA136" i="3" s="1"/>
  <c r="E135" i="3"/>
  <c r="E134" i="3"/>
  <c r="BA134" i="3"/>
  <c r="E133" i="3"/>
  <c r="AX133" i="3" s="1"/>
  <c r="E131" i="3"/>
  <c r="BA131" i="3" s="1"/>
  <c r="E130" i="3"/>
  <c r="BA130" i="3"/>
  <c r="E129" i="3"/>
  <c r="E128" i="3"/>
  <c r="BA128" i="3" s="1"/>
  <c r="E127" i="3"/>
  <c r="E126" i="3"/>
  <c r="BJ126" i="3" s="1"/>
  <c r="E125" i="3"/>
  <c r="E124" i="3"/>
  <c r="AY124" i="3" s="1"/>
  <c r="BA124" i="3"/>
  <c r="E123" i="3"/>
  <c r="E122" i="3"/>
  <c r="E121" i="3"/>
  <c r="AY121" i="3" s="1"/>
  <c r="E120" i="3"/>
  <c r="BJ120" i="3" s="1"/>
  <c r="BA120" i="3"/>
  <c r="E119" i="3"/>
  <c r="E118" i="3"/>
  <c r="AX118" i="3" s="1"/>
  <c r="E117" i="3"/>
  <c r="E116" i="3"/>
  <c r="E115" i="3"/>
  <c r="E114" i="3"/>
  <c r="E113" i="3"/>
  <c r="E112" i="3"/>
  <c r="E111" i="3"/>
  <c r="BA111" i="3" s="1"/>
  <c r="E110" i="3"/>
  <c r="BA110" i="3" s="1"/>
  <c r="E109" i="3"/>
  <c r="AY109" i="3" s="1"/>
  <c r="E108" i="3"/>
  <c r="AY108" i="3" s="1"/>
  <c r="E107" i="3"/>
  <c r="E106" i="3"/>
  <c r="BA106" i="3" s="1"/>
  <c r="E105" i="3"/>
  <c r="AX105" i="3" s="1"/>
  <c r="E104" i="3"/>
  <c r="E103" i="3"/>
  <c r="BA103" i="3" s="1"/>
  <c r="E102" i="3"/>
  <c r="E101" i="3"/>
  <c r="E100" i="3"/>
  <c r="BA100" i="3"/>
  <c r="E99" i="3"/>
  <c r="E98" i="3"/>
  <c r="E97" i="3"/>
  <c r="BA97" i="3" s="1"/>
  <c r="E96" i="3"/>
  <c r="E95" i="3"/>
  <c r="E94" i="3"/>
  <c r="E93" i="3"/>
  <c r="E92" i="3"/>
  <c r="AX92" i="3" s="1"/>
  <c r="E91" i="3"/>
  <c r="E90" i="3"/>
  <c r="E89" i="3"/>
  <c r="AY89" i="3" s="1"/>
  <c r="BA89" i="3"/>
  <c r="E88" i="3"/>
  <c r="BJ88" i="3" s="1"/>
  <c r="E87" i="3"/>
  <c r="BA87" i="3" s="1"/>
  <c r="E86" i="3"/>
  <c r="AX86" i="3" s="1"/>
  <c r="E85" i="3"/>
  <c r="E84" i="3"/>
  <c r="E83" i="3"/>
  <c r="E82" i="3"/>
  <c r="E81" i="3"/>
  <c r="E80" i="3"/>
  <c r="E79" i="3"/>
  <c r="E78" i="3"/>
  <c r="E77" i="3"/>
  <c r="E76" i="3"/>
  <c r="E75" i="3"/>
  <c r="AY75" i="3" s="1"/>
  <c r="E74" i="3"/>
  <c r="E73" i="3"/>
  <c r="E72" i="3"/>
  <c r="BA72" i="3" s="1"/>
  <c r="E71" i="3"/>
  <c r="BA71" i="3" s="1"/>
  <c r="E70" i="3"/>
  <c r="E69" i="3"/>
  <c r="E68" i="3"/>
  <c r="AX68" i="3" s="1"/>
  <c r="E67" i="3"/>
  <c r="AX67" i="3" s="1"/>
  <c r="BA67" i="3"/>
  <c r="E66" i="3"/>
  <c r="BJ66" i="3" s="1"/>
  <c r="E65" i="3"/>
  <c r="AX65" i="3" s="1"/>
  <c r="E64" i="3"/>
  <c r="BA64" i="3"/>
  <c r="E63" i="3"/>
  <c r="E62" i="3"/>
  <c r="BA62" i="3" s="1"/>
  <c r="E61" i="3"/>
  <c r="BA61" i="3" s="1"/>
  <c r="E60" i="3"/>
  <c r="BJ60" i="3" s="1"/>
  <c r="E59" i="3"/>
  <c r="BJ59" i="3" s="1"/>
  <c r="E58" i="3"/>
  <c r="BA58" i="3" s="1"/>
  <c r="E57" i="3"/>
  <c r="AX57" i="3" s="1"/>
  <c r="E56" i="3"/>
  <c r="BJ56" i="3" s="1"/>
  <c r="E55" i="3"/>
  <c r="AY55" i="3" s="1"/>
  <c r="E54" i="3"/>
  <c r="AX54" i="3" s="1"/>
  <c r="E53" i="3"/>
  <c r="BA53" i="3"/>
  <c r="E52" i="3"/>
  <c r="E51" i="3"/>
  <c r="E50" i="3"/>
  <c r="AX50" i="3" s="1"/>
  <c r="E49" i="3"/>
  <c r="BJ49" i="3" s="1"/>
  <c r="E48" i="3"/>
  <c r="BA48" i="3" s="1"/>
  <c r="E47" i="3"/>
  <c r="E46" i="3"/>
  <c r="AY46" i="3" s="1"/>
  <c r="E45" i="3"/>
  <c r="E44" i="3"/>
  <c r="BA44" i="3" s="1"/>
  <c r="E43" i="3"/>
  <c r="E42" i="3"/>
  <c r="AX42" i="3" s="1"/>
  <c r="E41" i="3"/>
  <c r="AY41" i="3" s="1"/>
  <c r="E40" i="3"/>
  <c r="E39" i="3"/>
  <c r="BJ39" i="3" s="1"/>
  <c r="E38" i="3"/>
  <c r="E37" i="3"/>
  <c r="E36" i="3"/>
  <c r="AY36" i="3" s="1"/>
  <c r="E35" i="3"/>
  <c r="E34" i="3"/>
  <c r="AY34" i="3" s="1"/>
  <c r="E33" i="3"/>
  <c r="BA33" i="3" s="1"/>
  <c r="E32" i="3"/>
  <c r="E31" i="3"/>
  <c r="AX31" i="3" s="1"/>
  <c r="E30" i="3"/>
  <c r="E29" i="3"/>
  <c r="BA29" i="3" s="1"/>
  <c r="E28" i="3"/>
  <c r="E27" i="3"/>
  <c r="E26" i="3"/>
  <c r="AX26" i="3" s="1"/>
  <c r="E25" i="3"/>
  <c r="BA25" i="3"/>
  <c r="E24" i="3"/>
  <c r="E23" i="3"/>
  <c r="E22" i="3"/>
  <c r="AY22" i="3" s="1"/>
  <c r="E21" i="3"/>
  <c r="BA21" i="3" s="1"/>
  <c r="E20" i="3"/>
  <c r="E19" i="3"/>
  <c r="E18" i="3"/>
  <c r="BA18" i="3" s="1"/>
  <c r="E17" i="3"/>
  <c r="E16" i="3"/>
  <c r="E15" i="3"/>
  <c r="E14" i="3"/>
  <c r="BJ14" i="3" s="1"/>
  <c r="E13" i="3"/>
  <c r="BA13" i="3" s="1"/>
  <c r="E12" i="3"/>
  <c r="E11" i="3"/>
  <c r="AY11" i="3" s="1"/>
  <c r="E10" i="3"/>
  <c r="E9" i="3"/>
  <c r="BA9" i="3" s="1"/>
  <c r="E8" i="3"/>
  <c r="AY8" i="3" s="1"/>
  <c r="E7" i="3"/>
  <c r="E6" i="3"/>
  <c r="BJ6" i="3" s="1"/>
  <c r="E5" i="3"/>
  <c r="AX5" i="3" s="1"/>
  <c r="E4" i="3"/>
  <c r="AY15" i="3"/>
  <c r="BA15" i="3"/>
  <c r="AY47" i="3"/>
  <c r="AX16" i="3"/>
  <c r="AY19" i="3"/>
  <c r="BA19" i="3"/>
  <c r="BA31" i="3"/>
  <c r="AY14" i="3"/>
  <c r="BA34" i="3"/>
  <c r="AY38" i="3"/>
  <c r="BA46" i="3"/>
  <c r="BA50" i="3"/>
  <c r="AY54" i="3"/>
  <c r="BA54" i="3"/>
  <c r="AY65" i="3"/>
  <c r="AX97" i="3"/>
  <c r="AX113" i="3"/>
  <c r="AY134" i="3"/>
  <c r="AX134" i="3"/>
  <c r="AY172" i="3"/>
  <c r="AX138" i="3"/>
  <c r="AY142" i="3"/>
  <c r="AX142" i="3"/>
  <c r="AY174" i="3"/>
  <c r="AX174" i="3"/>
  <c r="AX13" i="3"/>
  <c r="AX25" i="3"/>
  <c r="AX33" i="3"/>
  <c r="AX53" i="3"/>
  <c r="AX62" i="3"/>
  <c r="AX74" i="3"/>
  <c r="AX110" i="3"/>
  <c r="AX114" i="3"/>
  <c r="AY118" i="3"/>
  <c r="AY122" i="3"/>
  <c r="AY130" i="3"/>
  <c r="AX130" i="3"/>
  <c r="AX143" i="3"/>
  <c r="AY154" i="3"/>
  <c r="AY159" i="3"/>
  <c r="AX159" i="3"/>
  <c r="AY9" i="3"/>
  <c r="AY13" i="3"/>
  <c r="AY25" i="3"/>
  <c r="AY29" i="3"/>
  <c r="AY33" i="3"/>
  <c r="AX34" i="3"/>
  <c r="AY53" i="3"/>
  <c r="AY57" i="3"/>
  <c r="AX58" i="3"/>
  <c r="AY67" i="3"/>
  <c r="AY71" i="3"/>
  <c r="AX71" i="3"/>
  <c r="AY83" i="3"/>
  <c r="AY87" i="3"/>
  <c r="AX87" i="3"/>
  <c r="AX95" i="3"/>
  <c r="AY99" i="3"/>
  <c r="AY103" i="3"/>
  <c r="AX103" i="3"/>
  <c r="AY107" i="3"/>
  <c r="AY111" i="3"/>
  <c r="AY115" i="3"/>
  <c r="AY131" i="3"/>
  <c r="AX131" i="3"/>
  <c r="AX136" i="3"/>
  <c r="AX170" i="3"/>
  <c r="AX132" i="3"/>
  <c r="AX140" i="3"/>
  <c r="AY140" i="3"/>
  <c r="AX144" i="3"/>
  <c r="AY176" i="3"/>
  <c r="AX176" i="3"/>
  <c r="AX7" i="3"/>
  <c r="AX15" i="3"/>
  <c r="AX19" i="3"/>
  <c r="AX51" i="3"/>
  <c r="AY58" i="3"/>
  <c r="AX64" i="3"/>
  <c r="AY64" i="3"/>
  <c r="AX72" i="3"/>
  <c r="AY80" i="3"/>
  <c r="AX84" i="3"/>
  <c r="AX100" i="3"/>
  <c r="AY100" i="3"/>
  <c r="AX112" i="3"/>
  <c r="AX120" i="3"/>
  <c r="AX124" i="3"/>
  <c r="AX128" i="3"/>
  <c r="AY128" i="3"/>
  <c r="AY133" i="3"/>
  <c r="AY149" i="3"/>
  <c r="AX149" i="3"/>
  <c r="AX171" i="3"/>
  <c r="AY141" i="3"/>
  <c r="AX141" i="3"/>
  <c r="AY145" i="3"/>
  <c r="AY157" i="3"/>
  <c r="X1" i="4"/>
  <c r="D7" i="2"/>
  <c r="D4" i="2"/>
  <c r="F178" i="3"/>
  <c r="BI4" i="3"/>
  <c r="F2" i="8"/>
  <c r="H2" i="8" s="1"/>
  <c r="F5" i="8"/>
  <c r="H5" i="8" s="1"/>
  <c r="F21" i="8"/>
  <c r="H21" i="8" s="1"/>
  <c r="F8" i="8"/>
  <c r="H8" i="8" s="1"/>
  <c r="F18" i="8"/>
  <c r="H18" i="8" s="1"/>
  <c r="F31" i="8"/>
  <c r="H31" i="8" s="1"/>
  <c r="F7" i="8"/>
  <c r="H7" i="8" s="1"/>
  <c r="F23" i="8"/>
  <c r="H23" i="8" s="1"/>
  <c r="F44" i="8"/>
  <c r="H44" i="8" s="1"/>
  <c r="F45" i="8"/>
  <c r="H45" i="8" s="1"/>
  <c r="AC10" i="5"/>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A13" i="6"/>
  <c r="AA12" i="6"/>
  <c r="AA11" i="6"/>
  <c r="C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5" i="6"/>
  <c r="C166" i="6"/>
  <c r="C167" i="6"/>
  <c r="C168" i="6"/>
  <c r="C169" i="6"/>
  <c r="C170" i="6"/>
  <c r="C171" i="6"/>
  <c r="C172" i="6"/>
  <c r="C173" i="6"/>
  <c r="C174" i="6"/>
  <c r="B1" i="6"/>
  <c r="C1" i="6"/>
  <c r="A1" i="6"/>
  <c r="F175" i="4"/>
  <c r="AB175" i="4" s="1"/>
  <c r="F46" i="4"/>
  <c r="F142" i="4"/>
  <c r="AB142" i="4" s="1"/>
  <c r="F136" i="4"/>
  <c r="F80" i="4"/>
  <c r="AB80" i="4" s="1"/>
  <c r="F156" i="4"/>
  <c r="F116" i="4"/>
  <c r="AB116" i="4" s="1"/>
  <c r="F152" i="4"/>
  <c r="AB152" i="4" s="1"/>
  <c r="F82" i="4"/>
  <c r="AB82" i="4" s="1"/>
  <c r="F19" i="4"/>
  <c r="F169" i="4"/>
  <c r="AB169" i="4" s="1"/>
  <c r="F172" i="4"/>
  <c r="AB172" i="4" s="1"/>
  <c r="F97" i="4"/>
  <c r="F173" i="4"/>
  <c r="F106" i="4"/>
  <c r="AB106" i="4" s="1"/>
  <c r="F100" i="4"/>
  <c r="AB100" i="4" s="1"/>
  <c r="F134" i="4"/>
  <c r="AB134" i="4" s="1"/>
  <c r="F108" i="4"/>
  <c r="F121" i="4"/>
  <c r="F34" i="4"/>
  <c r="H34" i="4" s="1"/>
  <c r="P34" i="4" s="1"/>
  <c r="F84" i="4"/>
  <c r="AB84" i="4" s="1"/>
  <c r="F17" i="4"/>
  <c r="F153" i="4"/>
  <c r="AB153" i="4" s="1"/>
  <c r="F111" i="4"/>
  <c r="AB111" i="4" s="1"/>
  <c r="F151" i="4"/>
  <c r="F130" i="4"/>
  <c r="F42" i="4"/>
  <c r="F38" i="4"/>
  <c r="F163" i="4"/>
  <c r="AB163" i="4" s="1"/>
  <c r="F110" i="4"/>
  <c r="H110" i="4" s="1"/>
  <c r="P110" i="4" s="1"/>
  <c r="F109" i="4"/>
  <c r="F159" i="4"/>
  <c r="H159" i="4" s="1"/>
  <c r="P159" i="4" s="1"/>
  <c r="F41" i="4"/>
  <c r="AB41" i="4" s="1"/>
  <c r="F47" i="4"/>
  <c r="F96" i="4"/>
  <c r="AB96" i="4" s="1"/>
  <c r="F74" i="4"/>
  <c r="H74" i="4" s="1"/>
  <c r="P74" i="4" s="1"/>
  <c r="F39" i="4"/>
  <c r="AB39" i="4" s="1"/>
  <c r="F89" i="4"/>
  <c r="F105" i="4"/>
  <c r="F51" i="4"/>
  <c r="AB51" i="4" s="1"/>
  <c r="F59" i="4"/>
  <c r="AB59" i="4" s="1"/>
  <c r="F160" i="4"/>
  <c r="F35" i="4"/>
  <c r="AB35" i="4" s="1"/>
  <c r="F118" i="4"/>
  <c r="H118" i="4" s="1"/>
  <c r="P118" i="4" s="1"/>
  <c r="F101" i="4"/>
  <c r="F143" i="4"/>
  <c r="F20" i="4"/>
  <c r="AB20" i="4" s="1"/>
  <c r="F43" i="4"/>
  <c r="F133" i="4"/>
  <c r="AB133" i="4" s="1"/>
  <c r="F103" i="4"/>
  <c r="F147" i="4"/>
  <c r="F139" i="4"/>
  <c r="F131" i="4"/>
  <c r="AB131" i="4" s="1"/>
  <c r="F18" i="4"/>
  <c r="F81" i="4"/>
  <c r="AB81" i="4" s="1"/>
  <c r="F54" i="4"/>
  <c r="AB54" i="4" s="1"/>
  <c r="F40" i="4"/>
  <c r="F88" i="4"/>
  <c r="F3" i="4"/>
  <c r="F124" i="4"/>
  <c r="F123" i="4"/>
  <c r="AB123" i="4" s="1"/>
  <c r="F99" i="4"/>
  <c r="H99" i="4" s="1"/>
  <c r="P99" i="4" s="1"/>
  <c r="F112" i="4"/>
  <c r="F83" i="4"/>
  <c r="F90" i="4"/>
  <c r="AB90" i="4" s="1"/>
  <c r="F61" i="4"/>
  <c r="F32" i="4"/>
  <c r="AB32" i="4" s="1"/>
  <c r="F28" i="4"/>
  <c r="F104" i="4"/>
  <c r="AB104" i="4" s="1"/>
  <c r="F65" i="4"/>
  <c r="F87" i="4"/>
  <c r="AB87" i="4" s="1"/>
  <c r="F71" i="4"/>
  <c r="AB71" i="4" s="1"/>
  <c r="F30" i="4"/>
  <c r="AB30" i="4" s="1"/>
  <c r="F85" i="4"/>
  <c r="F27" i="4"/>
  <c r="F115" i="4"/>
  <c r="F128" i="4"/>
  <c r="AB128" i="4" s="1"/>
  <c r="F77" i="4"/>
  <c r="F26" i="4"/>
  <c r="AB26" i="4" s="1"/>
  <c r="F91" i="4"/>
  <c r="AB91" i="4" s="1"/>
  <c r="F37" i="4"/>
  <c r="F55" i="4"/>
  <c r="F132" i="4"/>
  <c r="AB132" i="4" s="1"/>
  <c r="F29" i="4"/>
  <c r="AB29" i="4" s="1"/>
  <c r="A29" i="4"/>
  <c r="B29" i="4" s="1"/>
  <c r="A36" i="4"/>
  <c r="B36" i="4" s="1"/>
  <c r="A132" i="4"/>
  <c r="B132" i="4" s="1"/>
  <c r="A49" i="4"/>
  <c r="B49" i="4" s="1"/>
  <c r="A55" i="4"/>
  <c r="B55" i="4" s="1"/>
  <c r="A58" i="4"/>
  <c r="B58" i="4" s="1"/>
  <c r="A37" i="4"/>
  <c r="B37" i="4" s="1"/>
  <c r="A52" i="4"/>
  <c r="B52" i="4" s="1"/>
  <c r="A91" i="4"/>
  <c r="B91" i="4" s="1"/>
  <c r="A26" i="4"/>
  <c r="B26" i="4" s="1"/>
  <c r="A25" i="4"/>
  <c r="B25" i="4" s="1"/>
  <c r="A77" i="4"/>
  <c r="B77" i="4" s="1"/>
  <c r="A67" i="4"/>
  <c r="B67" i="4" s="1"/>
  <c r="A128" i="4"/>
  <c r="B128" i="4" s="1"/>
  <c r="A75" i="4"/>
  <c r="B75" i="4" s="1"/>
  <c r="A115" i="4"/>
  <c r="B115" i="4" s="1"/>
  <c r="A98" i="4"/>
  <c r="B98" i="4" s="1"/>
  <c r="A27" i="4"/>
  <c r="B27" i="4" s="1"/>
  <c r="A24" i="4"/>
  <c r="B24" i="4" s="1"/>
  <c r="A85" i="4"/>
  <c r="B85" i="4" s="1"/>
  <c r="A6" i="4"/>
  <c r="B6" i="4" s="1"/>
  <c r="A30" i="4"/>
  <c r="B30" i="4" s="1"/>
  <c r="A23" i="4"/>
  <c r="B23" i="4" s="1"/>
  <c r="A71" i="4"/>
  <c r="B71" i="4" s="1"/>
  <c r="A93" i="4"/>
  <c r="B93" i="4" s="1"/>
  <c r="A87" i="4"/>
  <c r="B87" i="4" s="1"/>
  <c r="A31" i="4"/>
  <c r="B31" i="4" s="1"/>
  <c r="A65" i="4"/>
  <c r="B65" i="4" s="1"/>
  <c r="A94" i="4"/>
  <c r="B94" i="4" s="1"/>
  <c r="A104" i="4"/>
  <c r="B104" i="4" s="1"/>
  <c r="A127" i="4"/>
  <c r="B127" i="4" s="1"/>
  <c r="A28" i="4"/>
  <c r="B28" i="4" s="1"/>
  <c r="A72" i="4"/>
  <c r="B72" i="4" s="1"/>
  <c r="A32" i="4"/>
  <c r="B32" i="4" s="1"/>
  <c r="A62" i="4"/>
  <c r="B62" i="4" s="1"/>
  <c r="A61" i="4"/>
  <c r="B61" i="4" s="1"/>
  <c r="A50" i="4"/>
  <c r="B50" i="4" s="1"/>
  <c r="A90" i="4"/>
  <c r="B90" i="4" s="1"/>
  <c r="A53" i="4"/>
  <c r="B53" i="4" s="1"/>
  <c r="A83" i="4"/>
  <c r="B83" i="4" s="1"/>
  <c r="A113" i="4"/>
  <c r="B113" i="4" s="1"/>
  <c r="A112" i="4"/>
  <c r="B112" i="4" s="1"/>
  <c r="A86" i="4"/>
  <c r="B86" i="4" s="1"/>
  <c r="A99" i="4"/>
  <c r="B99" i="4" s="1"/>
  <c r="A95" i="4"/>
  <c r="B95" i="4" s="1"/>
  <c r="A123" i="4"/>
  <c r="B123" i="4" s="1"/>
  <c r="A60" i="4"/>
  <c r="B60" i="4" s="1"/>
  <c r="A124" i="4"/>
  <c r="B124" i="4" s="1"/>
  <c r="A44" i="4"/>
  <c r="B44" i="4" s="1"/>
  <c r="A3" i="4"/>
  <c r="B3" i="4" s="1"/>
  <c r="A57" i="4"/>
  <c r="B57" i="4" s="1"/>
  <c r="A88" i="4"/>
  <c r="B88" i="4" s="1"/>
  <c r="A10" i="4"/>
  <c r="B10" i="4" s="1"/>
  <c r="A40" i="4"/>
  <c r="B40" i="4" s="1"/>
  <c r="A126" i="4"/>
  <c r="B126" i="4" s="1"/>
  <c r="A54" i="4"/>
  <c r="B54" i="4" s="1"/>
  <c r="A138" i="4"/>
  <c r="B138" i="4" s="1"/>
  <c r="A81" i="4"/>
  <c r="B81" i="4" s="1"/>
  <c r="A78" i="4"/>
  <c r="B78" i="4" s="1"/>
  <c r="A18" i="4"/>
  <c r="B18" i="4" s="1"/>
  <c r="A79" i="4"/>
  <c r="B79" i="4" s="1"/>
  <c r="A131" i="4"/>
  <c r="B131" i="4" s="1"/>
  <c r="A146" i="4"/>
  <c r="B146" i="4" s="1"/>
  <c r="A139" i="4"/>
  <c r="B139" i="4" s="1"/>
  <c r="A168" i="4"/>
  <c r="B168" i="4" s="1"/>
  <c r="A147" i="4"/>
  <c r="B147" i="4" s="1"/>
  <c r="A21" i="4"/>
  <c r="B21" i="4" s="1"/>
  <c r="A103" i="4"/>
  <c r="B103" i="4" s="1"/>
  <c r="A8" i="4"/>
  <c r="B8" i="4" s="1"/>
  <c r="A133" i="4"/>
  <c r="B133" i="4" s="1"/>
  <c r="A16" i="4"/>
  <c r="B16" i="4" s="1"/>
  <c r="A43" i="4"/>
  <c r="B43" i="4" s="1"/>
  <c r="A145" i="4"/>
  <c r="B145" i="4" s="1"/>
  <c r="A20" i="4"/>
  <c r="B20" i="4" s="1"/>
  <c r="A125" i="4"/>
  <c r="B125" i="4" s="1"/>
  <c r="A143" i="4"/>
  <c r="B143" i="4" s="1"/>
  <c r="A135" i="4"/>
  <c r="B135" i="4" s="1"/>
  <c r="A101" i="4"/>
  <c r="B101" i="4" s="1"/>
  <c r="A7" i="4"/>
  <c r="B7" i="4" s="1"/>
  <c r="A118" i="4"/>
  <c r="B118" i="4" s="1"/>
  <c r="A141" i="4"/>
  <c r="B141" i="4" s="1"/>
  <c r="A35" i="4"/>
  <c r="B35" i="4" s="1"/>
  <c r="A102" i="4"/>
  <c r="B102" i="4" s="1"/>
  <c r="A160" i="4"/>
  <c r="B160" i="4" s="1"/>
  <c r="A158" i="4"/>
  <c r="B158" i="4" s="1"/>
  <c r="A59" i="4"/>
  <c r="B59" i="4" s="1"/>
  <c r="A161" i="4"/>
  <c r="B161" i="4" s="1"/>
  <c r="A51" i="4"/>
  <c r="B51" i="4" s="1"/>
  <c r="A66" i="4"/>
  <c r="B66" i="4" s="1"/>
  <c r="A105" i="4"/>
  <c r="B105" i="4" s="1"/>
  <c r="A56" i="4"/>
  <c r="B56" i="4" s="1"/>
  <c r="A89" i="4"/>
  <c r="B89" i="4" s="1"/>
  <c r="A22" i="4"/>
  <c r="B22" i="4" s="1"/>
  <c r="A39" i="4"/>
  <c r="B39" i="4" s="1"/>
  <c r="A117" i="4"/>
  <c r="B117" i="4" s="1"/>
  <c r="A74" i="4"/>
  <c r="B74" i="4" s="1"/>
  <c r="A70" i="4"/>
  <c r="B70" i="4" s="1"/>
  <c r="A96" i="4"/>
  <c r="B96" i="4" s="1"/>
  <c r="A68" i="4"/>
  <c r="B68" i="4" s="1"/>
  <c r="A47" i="4"/>
  <c r="B47" i="4" s="1"/>
  <c r="A148" i="4"/>
  <c r="B148" i="4" s="1"/>
  <c r="A41" i="4"/>
  <c r="B41" i="4" s="1"/>
  <c r="A164" i="4"/>
  <c r="B164" i="4" s="1"/>
  <c r="A159" i="4"/>
  <c r="B159" i="4" s="1"/>
  <c r="A170" i="4"/>
  <c r="B170" i="4" s="1"/>
  <c r="A109" i="4"/>
  <c r="B109" i="4" s="1"/>
  <c r="A155" i="4"/>
  <c r="B155" i="4" s="1"/>
  <c r="A110" i="4"/>
  <c r="B110" i="4" s="1"/>
  <c r="A114" i="4"/>
  <c r="B114" i="4" s="1"/>
  <c r="A163" i="4"/>
  <c r="B163" i="4" s="1"/>
  <c r="A107" i="4"/>
  <c r="B107" i="4" s="1"/>
  <c r="A38" i="4"/>
  <c r="B38" i="4" s="1"/>
  <c r="A76" i="4"/>
  <c r="B76" i="4" s="1"/>
  <c r="A42" i="4"/>
  <c r="B42" i="4" s="1"/>
  <c r="A5" i="4"/>
  <c r="B5" i="4" s="1"/>
  <c r="A130" i="4"/>
  <c r="B130" i="4" s="1"/>
  <c r="A140" i="4"/>
  <c r="B140" i="4" s="1"/>
  <c r="A151" i="4"/>
  <c r="B151" i="4" s="1"/>
  <c r="A4" i="4"/>
  <c r="B4" i="4" s="1"/>
  <c r="A111" i="4"/>
  <c r="B111" i="4" s="1"/>
  <c r="A150" i="4"/>
  <c r="B150" i="4" s="1"/>
  <c r="A153" i="4"/>
  <c r="B153" i="4" s="1"/>
  <c r="A92" i="4"/>
  <c r="B92" i="4" s="1"/>
  <c r="A17" i="4"/>
  <c r="B17" i="4" s="1"/>
  <c r="A63" i="4"/>
  <c r="B63" i="4" s="1"/>
  <c r="A84" i="4"/>
  <c r="B84" i="4" s="1"/>
  <c r="A119" i="4"/>
  <c r="B119" i="4" s="1"/>
  <c r="A34" i="4"/>
  <c r="B34" i="4" s="1"/>
  <c r="A165" i="4"/>
  <c r="B165" i="4" s="1"/>
  <c r="A121" i="4"/>
  <c r="B121" i="4" s="1"/>
  <c r="A45" i="4"/>
  <c r="B45" i="4" s="1"/>
  <c r="A108" i="4"/>
  <c r="B108" i="4" s="1"/>
  <c r="A167" i="4"/>
  <c r="B167" i="4" s="1"/>
  <c r="A134" i="4"/>
  <c r="B134" i="4" s="1"/>
  <c r="A122" i="4"/>
  <c r="B122" i="4" s="1"/>
  <c r="A100" i="4"/>
  <c r="B100" i="4" s="1"/>
  <c r="A157" i="4"/>
  <c r="B157" i="4" s="1"/>
  <c r="A106" i="4"/>
  <c r="B106" i="4" s="1"/>
  <c r="A166" i="4"/>
  <c r="B166" i="4" s="1"/>
  <c r="A173" i="4"/>
  <c r="B173" i="4" s="1"/>
  <c r="A48" i="4"/>
  <c r="B48" i="4" s="1"/>
  <c r="A97" i="4"/>
  <c r="B97" i="4" s="1"/>
  <c r="A144" i="4"/>
  <c r="B144" i="4" s="1"/>
  <c r="A172" i="4"/>
  <c r="B172" i="4" s="1"/>
  <c r="A9" i="4"/>
  <c r="B9" i="4" s="1"/>
  <c r="A169" i="4"/>
  <c r="B169" i="4" s="1"/>
  <c r="A154" i="4"/>
  <c r="B154" i="4" s="1"/>
  <c r="A19" i="4"/>
  <c r="B19" i="4" s="1"/>
  <c r="A64" i="4"/>
  <c r="B64" i="4" s="1"/>
  <c r="A82" i="4"/>
  <c r="B82" i="4" s="1"/>
  <c r="A73" i="4"/>
  <c r="B73" i="4" s="1"/>
  <c r="A152" i="4"/>
  <c r="B152" i="4" s="1"/>
  <c r="A149" i="4"/>
  <c r="B149" i="4" s="1"/>
  <c r="A116" i="4"/>
  <c r="B116" i="4" s="1"/>
  <c r="A120" i="4"/>
  <c r="B120" i="4" s="1"/>
  <c r="A156" i="4"/>
  <c r="B156" i="4" s="1"/>
  <c r="A137" i="4"/>
  <c r="B137" i="4" s="1"/>
  <c r="A80" i="4"/>
  <c r="B80" i="4" s="1"/>
  <c r="A129" i="4"/>
  <c r="B129" i="4" s="1"/>
  <c r="A136" i="4"/>
  <c r="B136" i="4" s="1"/>
  <c r="A171" i="4"/>
  <c r="B171" i="4" s="1"/>
  <c r="A142" i="4"/>
  <c r="B142" i="4" s="1"/>
  <c r="A69" i="4"/>
  <c r="B69" i="4" s="1"/>
  <c r="A46" i="4"/>
  <c r="B46" i="4" s="1"/>
  <c r="A162" i="4"/>
  <c r="B162" i="4" s="1"/>
  <c r="A175" i="4"/>
  <c r="B175" i="4" s="1"/>
  <c r="A174" i="4"/>
  <c r="B174" i="4" s="1"/>
  <c r="BQ4" i="3"/>
  <c r="BQ5" i="3"/>
  <c r="BR5" i="3"/>
  <c r="BQ6" i="3"/>
  <c r="BR6" i="3" s="1"/>
  <c r="BQ7" i="3"/>
  <c r="BR7" i="3" s="1"/>
  <c r="BQ8" i="3"/>
  <c r="BQ9" i="3"/>
  <c r="BR9" i="3" s="1"/>
  <c r="BQ10" i="3"/>
  <c r="BQ11" i="3"/>
  <c r="BR11" i="3" s="1"/>
  <c r="BQ12" i="3"/>
  <c r="BR12" i="3" s="1"/>
  <c r="BQ13" i="3"/>
  <c r="BR13" i="3" s="1"/>
  <c r="BQ14" i="3"/>
  <c r="BR14" i="3" s="1"/>
  <c r="BQ15" i="3"/>
  <c r="BR15" i="3"/>
  <c r="BQ16" i="3"/>
  <c r="BR16" i="3" s="1"/>
  <c r="BQ17" i="3"/>
  <c r="BQ18" i="3"/>
  <c r="BQ19" i="3"/>
  <c r="BR19" i="3"/>
  <c r="BQ20" i="3"/>
  <c r="BR20" i="3" s="1"/>
  <c r="BQ21" i="3"/>
  <c r="BQ22" i="3"/>
  <c r="BR22" i="3"/>
  <c r="BQ23" i="3"/>
  <c r="BR23" i="3" s="1"/>
  <c r="BQ24" i="3"/>
  <c r="BR24" i="3" s="1"/>
  <c r="BQ25" i="3"/>
  <c r="BR25" i="3" s="1"/>
  <c r="BQ26" i="3"/>
  <c r="BR26" i="3"/>
  <c r="BQ27" i="3"/>
  <c r="BR27" i="3" s="1"/>
  <c r="BQ28" i="3"/>
  <c r="BQ29" i="3"/>
  <c r="BQ30" i="3"/>
  <c r="BQ31" i="3"/>
  <c r="BR31" i="3" s="1"/>
  <c r="BQ32" i="3"/>
  <c r="BQ33" i="3"/>
  <c r="BR33" i="3" s="1"/>
  <c r="BQ34" i="3"/>
  <c r="BR34" i="3" s="1"/>
  <c r="BQ35" i="3"/>
  <c r="BR35" i="3" s="1"/>
  <c r="BQ36" i="3"/>
  <c r="BQ37" i="3"/>
  <c r="BR37" i="3" s="1"/>
  <c r="BQ38" i="3"/>
  <c r="BR38" i="3" s="1"/>
  <c r="BQ39" i="3"/>
  <c r="BR39" i="3" s="1"/>
  <c r="BQ40" i="3"/>
  <c r="BQ41" i="3"/>
  <c r="BR41" i="3"/>
  <c r="BQ42" i="3"/>
  <c r="BQ43" i="3"/>
  <c r="BR43" i="3" s="1"/>
  <c r="BQ44" i="3"/>
  <c r="BR44" i="3"/>
  <c r="BQ45" i="3"/>
  <c r="BR45" i="3" s="1"/>
  <c r="BQ46" i="3"/>
  <c r="BR46" i="3" s="1"/>
  <c r="BQ47" i="3"/>
  <c r="BR47" i="3" s="1"/>
  <c r="BQ48" i="3"/>
  <c r="BQ49" i="3"/>
  <c r="BQ50" i="3"/>
  <c r="BR50" i="3" s="1"/>
  <c r="BQ51" i="3"/>
  <c r="BR51" i="3" s="1"/>
  <c r="BQ52" i="3"/>
  <c r="BQ53" i="3"/>
  <c r="BR53" i="3" s="1"/>
  <c r="BQ54" i="3"/>
  <c r="BR54" i="3" s="1"/>
  <c r="BQ55" i="3"/>
  <c r="BQ56" i="3"/>
  <c r="BQ57" i="3"/>
  <c r="BR57" i="3" s="1"/>
  <c r="BQ58" i="3"/>
  <c r="BR58" i="3"/>
  <c r="BQ59" i="3"/>
  <c r="BQ60" i="3"/>
  <c r="BR60" i="3" s="1"/>
  <c r="BQ61" i="3"/>
  <c r="BR61" i="3" s="1"/>
  <c r="BQ62" i="3"/>
  <c r="BR62" i="3" s="1"/>
  <c r="BQ63" i="3"/>
  <c r="BQ64" i="3"/>
  <c r="BR64" i="3" s="1"/>
  <c r="BQ65" i="3"/>
  <c r="BR65" i="3" s="1"/>
  <c r="BQ66" i="3"/>
  <c r="BQ67" i="3"/>
  <c r="BR67" i="3" s="1"/>
  <c r="BQ68" i="3"/>
  <c r="BR68" i="3" s="1"/>
  <c r="BQ69" i="3"/>
  <c r="BQ70" i="3"/>
  <c r="BR70" i="3" s="1"/>
  <c r="BQ71" i="3"/>
  <c r="BR71" i="3" s="1"/>
  <c r="BQ72" i="3"/>
  <c r="BQ73" i="3"/>
  <c r="BQ74" i="3"/>
  <c r="BR74" i="3" s="1"/>
  <c r="BQ75" i="3"/>
  <c r="BR75" i="3" s="1"/>
  <c r="BQ76" i="3"/>
  <c r="BR76" i="3"/>
  <c r="BQ77" i="3"/>
  <c r="BR77" i="3" s="1"/>
  <c r="BQ78" i="3"/>
  <c r="BR78" i="3"/>
  <c r="BQ79" i="3"/>
  <c r="BR79" i="3" s="1"/>
  <c r="BQ80" i="3"/>
  <c r="BR80" i="3" s="1"/>
  <c r="BQ81" i="3"/>
  <c r="BQ82" i="3"/>
  <c r="BR82" i="3" s="1"/>
  <c r="BQ83" i="3"/>
  <c r="BR83" i="3" s="1"/>
  <c r="BQ84" i="3"/>
  <c r="BR84" i="3" s="1"/>
  <c r="BQ85" i="3"/>
  <c r="BQ86" i="3"/>
  <c r="BQ87" i="3"/>
  <c r="BR87" i="3"/>
  <c r="BQ88" i="3"/>
  <c r="BR88" i="3" s="1"/>
  <c r="BQ89" i="3"/>
  <c r="BR89" i="3" s="1"/>
  <c r="BQ90" i="3"/>
  <c r="BR90" i="3"/>
  <c r="BQ91" i="3"/>
  <c r="BR91" i="3" s="1"/>
  <c r="BQ92" i="3"/>
  <c r="BQ93" i="3"/>
  <c r="BQ94" i="3"/>
  <c r="BR94" i="3" s="1"/>
  <c r="BQ95" i="3"/>
  <c r="BR95" i="3" s="1"/>
  <c r="BQ96" i="3"/>
  <c r="BR96" i="3"/>
  <c r="BQ97" i="3"/>
  <c r="BQ98" i="3"/>
  <c r="BR98" i="3" s="1"/>
  <c r="BQ99" i="3"/>
  <c r="BR99" i="3"/>
  <c r="BQ100" i="3"/>
  <c r="BR100" i="3" s="1"/>
  <c r="BQ101" i="3"/>
  <c r="BR101" i="3" s="1"/>
  <c r="BQ102" i="3"/>
  <c r="BQ103" i="3"/>
  <c r="BR103" i="3" s="1"/>
  <c r="BQ104" i="3"/>
  <c r="BQ105" i="3"/>
  <c r="BQ106" i="3"/>
  <c r="BQ107" i="3"/>
  <c r="BQ108" i="3"/>
  <c r="BQ109" i="3"/>
  <c r="BQ110" i="3"/>
  <c r="BR110" i="3" s="1"/>
  <c r="BQ111" i="3"/>
  <c r="BR111" i="3" s="1"/>
  <c r="BQ112" i="3"/>
  <c r="BQ113" i="3"/>
  <c r="BQ114" i="3"/>
  <c r="BR114" i="3"/>
  <c r="BQ115" i="3"/>
  <c r="BR115" i="3" s="1"/>
  <c r="BQ116" i="3"/>
  <c r="BQ117" i="3"/>
  <c r="BR117" i="3" s="1"/>
  <c r="BQ118" i="3"/>
  <c r="BR118" i="3" s="1"/>
  <c r="BQ119" i="3"/>
  <c r="BQ120" i="3"/>
  <c r="BR120" i="3" s="1"/>
  <c r="BQ121" i="3"/>
  <c r="BQ122" i="3"/>
  <c r="BR122" i="3" s="1"/>
  <c r="BQ123" i="3"/>
  <c r="BQ124" i="3"/>
  <c r="BR124" i="3" s="1"/>
  <c r="BQ125" i="3"/>
  <c r="BR125" i="3" s="1"/>
  <c r="BQ126" i="3"/>
  <c r="BQ127" i="3"/>
  <c r="BQ128" i="3"/>
  <c r="BR128" i="3"/>
  <c r="BQ129" i="3"/>
  <c r="BR129" i="3" s="1"/>
  <c r="BQ130" i="3"/>
  <c r="BR130" i="3" s="1"/>
  <c r="BQ131" i="3"/>
  <c r="BR131" i="3"/>
  <c r="BQ132" i="3"/>
  <c r="BR132" i="3" s="1"/>
  <c r="BQ133" i="3"/>
  <c r="BR133" i="3" s="1"/>
  <c r="BQ134" i="3"/>
  <c r="BR134" i="3" s="1"/>
  <c r="BQ135" i="3"/>
  <c r="BQ136" i="3"/>
  <c r="BR136" i="3" s="1"/>
  <c r="BQ137" i="3"/>
  <c r="BQ138" i="3"/>
  <c r="BR138" i="3" s="1"/>
  <c r="BQ139" i="3"/>
  <c r="BR139" i="3" s="1"/>
  <c r="BQ140" i="3"/>
  <c r="BR140" i="3" s="1"/>
  <c r="BQ141" i="3"/>
  <c r="BR141" i="3" s="1"/>
  <c r="BQ142" i="3"/>
  <c r="BR142" i="3" s="1"/>
  <c r="BQ143" i="3"/>
  <c r="BR143" i="3" s="1"/>
  <c r="BQ144" i="3"/>
  <c r="BR144" i="3" s="1"/>
  <c r="BQ145" i="3"/>
  <c r="BR145" i="3" s="1"/>
  <c r="BQ146" i="3"/>
  <c r="BQ147" i="3"/>
  <c r="BR147" i="3"/>
  <c r="BQ148" i="3"/>
  <c r="BQ149" i="3"/>
  <c r="BR149" i="3" s="1"/>
  <c r="BQ150" i="3"/>
  <c r="BR150" i="3" s="1"/>
  <c r="BQ151" i="3"/>
  <c r="BR151" i="3" s="1"/>
  <c r="BQ152" i="3"/>
  <c r="BR152" i="3" s="1"/>
  <c r="BQ153" i="3"/>
  <c r="BR153" i="3" s="1"/>
  <c r="BQ154" i="3"/>
  <c r="BR154" i="3" s="1"/>
  <c r="BQ155" i="3"/>
  <c r="BQ156" i="3"/>
  <c r="BR156" i="3"/>
  <c r="BQ157" i="3"/>
  <c r="BR157" i="3" s="1"/>
  <c r="BQ158" i="3"/>
  <c r="BR158" i="3" s="1"/>
  <c r="BQ159" i="3"/>
  <c r="BR159" i="3"/>
  <c r="BQ160" i="3"/>
  <c r="BR160" i="3" s="1"/>
  <c r="BQ161" i="3"/>
  <c r="BR161" i="3" s="1"/>
  <c r="BQ167" i="3"/>
  <c r="BR167" i="3" s="1"/>
  <c r="BQ168" i="3"/>
  <c r="BR168" i="3"/>
  <c r="BQ169" i="3"/>
  <c r="BQ170" i="3"/>
  <c r="BR170" i="3"/>
  <c r="BQ171" i="3"/>
  <c r="BR171" i="3" s="1"/>
  <c r="BQ172" i="3"/>
  <c r="BR172" i="3" s="1"/>
  <c r="BQ173" i="3"/>
  <c r="BQ174" i="3"/>
  <c r="BR174" i="3" s="1"/>
  <c r="BQ175" i="3"/>
  <c r="BR175" i="3" s="1"/>
  <c r="BQ176" i="3"/>
  <c r="BR176" i="3" s="1"/>
  <c r="A5" i="3"/>
  <c r="B5" i="3" s="1"/>
  <c r="A6" i="3"/>
  <c r="A7" i="3"/>
  <c r="A8" i="3"/>
  <c r="A9" i="3"/>
  <c r="A7" i="6" s="1"/>
  <c r="A10" i="3"/>
  <c r="A8" i="6" s="1"/>
  <c r="A11" i="3"/>
  <c r="B11" i="3" s="1"/>
  <c r="A12" i="3"/>
  <c r="A13" i="3"/>
  <c r="A14" i="3"/>
  <c r="A12" i="6" s="1"/>
  <c r="A15" i="3"/>
  <c r="A16" i="3"/>
  <c r="A14" i="6" s="1"/>
  <c r="A17" i="3"/>
  <c r="A18" i="3"/>
  <c r="A16" i="6" s="1"/>
  <c r="A19" i="3"/>
  <c r="A20" i="3"/>
  <c r="A21" i="3"/>
  <c r="A22" i="3"/>
  <c r="A23" i="3"/>
  <c r="A24" i="3"/>
  <c r="A22" i="6" s="1"/>
  <c r="A25" i="3"/>
  <c r="A23" i="6" s="1"/>
  <c r="A26" i="3"/>
  <c r="A24" i="9" s="1"/>
  <c r="A27" i="3"/>
  <c r="A25" i="6" s="1"/>
  <c r="A28" i="3"/>
  <c r="A29" i="3"/>
  <c r="A30" i="3"/>
  <c r="A28" i="6" s="1"/>
  <c r="A31" i="3"/>
  <c r="A32" i="3"/>
  <c r="A33" i="3"/>
  <c r="A31" i="9" s="1"/>
  <c r="A34" i="3"/>
  <c r="A32" i="6" s="1"/>
  <c r="A35" i="3"/>
  <c r="A36" i="3"/>
  <c r="A37" i="3"/>
  <c r="B37" i="3" s="1"/>
  <c r="B35" i="9" s="1"/>
  <c r="A38" i="3"/>
  <c r="A36" i="9" s="1"/>
  <c r="A39" i="3"/>
  <c r="A40" i="3"/>
  <c r="A41" i="3"/>
  <c r="A39" i="9" s="1"/>
  <c r="A42" i="3"/>
  <c r="A40" i="9" s="1"/>
  <c r="A43" i="3"/>
  <c r="A41" i="9" s="1"/>
  <c r="A44" i="3"/>
  <c r="A42" i="6" s="1"/>
  <c r="A45" i="3"/>
  <c r="A43" i="6" s="1"/>
  <c r="A46" i="3"/>
  <c r="A44" i="6" s="1"/>
  <c r="A47" i="3"/>
  <c r="A48" i="3"/>
  <c r="A49" i="3"/>
  <c r="A47" i="6" s="1"/>
  <c r="A50" i="3"/>
  <c r="A48" i="6" s="1"/>
  <c r="A51" i="3"/>
  <c r="A52" i="3"/>
  <c r="A53" i="3"/>
  <c r="A54" i="3"/>
  <c r="A52" i="6" s="1"/>
  <c r="A55" i="3"/>
  <c r="A56" i="3"/>
  <c r="A57" i="3"/>
  <c r="A58" i="3"/>
  <c r="A56" i="6" s="1"/>
  <c r="A59" i="3"/>
  <c r="B59" i="3" s="1"/>
  <c r="A60" i="3"/>
  <c r="A58" i="9" s="1"/>
  <c r="A61" i="3"/>
  <c r="B61" i="3" s="1"/>
  <c r="A62" i="3"/>
  <c r="A60" i="9" s="1"/>
  <c r="A63" i="3"/>
  <c r="A64" i="3"/>
  <c r="A62" i="6" s="1"/>
  <c r="A65" i="3"/>
  <c r="A66" i="3"/>
  <c r="A64" i="9" s="1"/>
  <c r="A67" i="3"/>
  <c r="B67" i="3" s="1"/>
  <c r="A68" i="3"/>
  <c r="B68" i="3" s="1"/>
  <c r="A69" i="3"/>
  <c r="A70" i="3"/>
  <c r="A68" i="6" s="1"/>
  <c r="A71" i="3"/>
  <c r="A72" i="3"/>
  <c r="A70" i="9" s="1"/>
  <c r="A73" i="3"/>
  <c r="A71" i="6" s="1"/>
  <c r="A74" i="3"/>
  <c r="B74" i="3" s="1"/>
  <c r="A75" i="3"/>
  <c r="A76" i="3"/>
  <c r="A77" i="3"/>
  <c r="A78" i="3"/>
  <c r="A79" i="3"/>
  <c r="A80" i="3"/>
  <c r="A81" i="3"/>
  <c r="B81" i="3" s="1"/>
  <c r="A82" i="3"/>
  <c r="A83" i="3"/>
  <c r="A84" i="3"/>
  <c r="B84" i="3" s="1"/>
  <c r="B82" i="9" s="1"/>
  <c r="A85" i="3"/>
  <c r="A86" i="3"/>
  <c r="A84" i="9" s="1"/>
  <c r="A87" i="3"/>
  <c r="A88" i="3"/>
  <c r="A86" i="9" s="1"/>
  <c r="A89" i="3"/>
  <c r="A87" i="6" s="1"/>
  <c r="A90" i="3"/>
  <c r="A88" i="6" s="1"/>
  <c r="A91" i="3"/>
  <c r="A89" i="6" s="1"/>
  <c r="A92" i="3"/>
  <c r="B92" i="3" s="1"/>
  <c r="A93" i="3"/>
  <c r="A94" i="3"/>
  <c r="B94" i="3" s="1"/>
  <c r="B92" i="9" s="1"/>
  <c r="A95" i="3"/>
  <c r="A96" i="3"/>
  <c r="A94" i="6" s="1"/>
  <c r="A97" i="3"/>
  <c r="A98" i="3"/>
  <c r="A96" i="9" s="1"/>
  <c r="A99" i="3"/>
  <c r="A97" i="9" s="1"/>
  <c r="A100" i="3"/>
  <c r="B100" i="3" s="1"/>
  <c r="A101" i="3"/>
  <c r="A99" i="6" s="1"/>
  <c r="A102" i="3"/>
  <c r="A100" i="9" s="1"/>
  <c r="A103" i="3"/>
  <c r="A104" i="3"/>
  <c r="A105" i="3"/>
  <c r="A103" i="9" s="1"/>
  <c r="A106" i="3"/>
  <c r="A104" i="9" s="1"/>
  <c r="A107" i="3"/>
  <c r="A105" i="9" s="1"/>
  <c r="A108" i="3"/>
  <c r="B108" i="3" s="1"/>
  <c r="A109" i="3"/>
  <c r="A110" i="3"/>
  <c r="B110" i="3" s="1"/>
  <c r="B108" i="9" s="1"/>
  <c r="A111" i="3"/>
  <c r="A112" i="3"/>
  <c r="A113" i="3"/>
  <c r="B113" i="3" s="1"/>
  <c r="B111" i="9" s="1"/>
  <c r="A114" i="3"/>
  <c r="A112" i="9" s="1"/>
  <c r="A115" i="3"/>
  <c r="A113" i="9" s="1"/>
  <c r="A116" i="3"/>
  <c r="A117" i="3"/>
  <c r="B117" i="3" s="1"/>
  <c r="A118" i="3"/>
  <c r="B118" i="3" s="1"/>
  <c r="B116" i="9" s="1"/>
  <c r="A119" i="3"/>
  <c r="A120" i="3"/>
  <c r="A121" i="3"/>
  <c r="A119" i="6" s="1"/>
  <c r="A122" i="3"/>
  <c r="A120" i="9" s="1"/>
  <c r="A123" i="3"/>
  <c r="A121" i="6" s="1"/>
  <c r="A124" i="3"/>
  <c r="B124" i="3" s="1"/>
  <c r="B122" i="9" s="1"/>
  <c r="A125" i="3"/>
  <c r="A126" i="3"/>
  <c r="A124" i="6" s="1"/>
  <c r="A127" i="3"/>
  <c r="A128" i="3"/>
  <c r="A126" i="6" s="1"/>
  <c r="A129" i="3"/>
  <c r="A127" i="6" s="1"/>
  <c r="A130" i="3"/>
  <c r="A128" i="9" s="1"/>
  <c r="A131" i="3"/>
  <c r="B131" i="3" s="1"/>
  <c r="A132" i="3"/>
  <c r="B132" i="3" s="1"/>
  <c r="A133" i="3"/>
  <c r="A134" i="3"/>
  <c r="A135" i="3"/>
  <c r="A136" i="3"/>
  <c r="A137" i="3"/>
  <c r="B137" i="3" s="1"/>
  <c r="B135" i="6" s="1"/>
  <c r="A138" i="3"/>
  <c r="A136" i="6" s="1"/>
  <c r="A139" i="3"/>
  <c r="A137" i="6" s="1"/>
  <c r="A140" i="3"/>
  <c r="A138" i="9" s="1"/>
  <c r="A141" i="3"/>
  <c r="A139" i="6" s="1"/>
  <c r="A142" i="3"/>
  <c r="A140" i="9" s="1"/>
  <c r="A143" i="3"/>
  <c r="A144" i="3"/>
  <c r="B144" i="3" s="1"/>
  <c r="B142" i="9" s="1"/>
  <c r="A145" i="3"/>
  <c r="A146" i="3"/>
  <c r="A147" i="3"/>
  <c r="A145" i="9" s="1"/>
  <c r="A148" i="3"/>
  <c r="A146" i="6" s="1"/>
  <c r="A149" i="3"/>
  <c r="A150" i="3"/>
  <c r="A148" i="9" s="1"/>
  <c r="A151" i="3"/>
  <c r="A152" i="3"/>
  <c r="A150" i="9" s="1"/>
  <c r="A153" i="3"/>
  <c r="B153" i="3" s="1"/>
  <c r="B151" i="9" s="1"/>
  <c r="A154" i="3"/>
  <c r="A155" i="3"/>
  <c r="B155" i="3" s="1"/>
  <c r="B153" i="6" s="1"/>
  <c r="A156" i="3"/>
  <c r="A154" i="9" s="1"/>
  <c r="A157" i="3"/>
  <c r="A158" i="3"/>
  <c r="A159" i="3"/>
  <c r="A160" i="3"/>
  <c r="A161" i="3"/>
  <c r="A167" i="3"/>
  <c r="A168" i="3"/>
  <c r="A166" i="9" s="1"/>
  <c r="A169" i="3"/>
  <c r="A170" i="3"/>
  <c r="A171" i="3"/>
  <c r="A172" i="3"/>
  <c r="A173" i="3"/>
  <c r="A171" i="6" s="1"/>
  <c r="A174" i="3"/>
  <c r="A175" i="3"/>
  <c r="A176" i="3"/>
  <c r="A174" i="6" s="1"/>
  <c r="A4" i="3"/>
  <c r="A2" i="6" s="1"/>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I124" i="3"/>
  <c r="BI125" i="3"/>
  <c r="BI126" i="3"/>
  <c r="BI127" i="3"/>
  <c r="BI128" i="3"/>
  <c r="BI129" i="3"/>
  <c r="BI130" i="3"/>
  <c r="BI131" i="3"/>
  <c r="BI132" i="3"/>
  <c r="BI133" i="3"/>
  <c r="BI134" i="3"/>
  <c r="BI135" i="3"/>
  <c r="BI136" i="3"/>
  <c r="BI137" i="3"/>
  <c r="BI138" i="3"/>
  <c r="BI139" i="3"/>
  <c r="BI140" i="3"/>
  <c r="BI141" i="3"/>
  <c r="BI142" i="3"/>
  <c r="BI143" i="3"/>
  <c r="BI144" i="3"/>
  <c r="BI145" i="3"/>
  <c r="BI146" i="3"/>
  <c r="BI147" i="3"/>
  <c r="BI148" i="3"/>
  <c r="BI149" i="3"/>
  <c r="BI150" i="3"/>
  <c r="BI151" i="3"/>
  <c r="BI152" i="3"/>
  <c r="BI153" i="3"/>
  <c r="BI154" i="3"/>
  <c r="BI155" i="3"/>
  <c r="BI156" i="3"/>
  <c r="BI157" i="3"/>
  <c r="BI158" i="3"/>
  <c r="BI159" i="3"/>
  <c r="BI160" i="3"/>
  <c r="BI161" i="3"/>
  <c r="BI168" i="3"/>
  <c r="BI169" i="3"/>
  <c r="BI170" i="3"/>
  <c r="BI171" i="3"/>
  <c r="BI172" i="3"/>
  <c r="BI173" i="3"/>
  <c r="BI174" i="3"/>
  <c r="BI175" i="3"/>
  <c r="BI176" i="3"/>
  <c r="BI5" i="3"/>
  <c r="BI11" i="3"/>
  <c r="BI15" i="3"/>
  <c r="BI17" i="3"/>
  <c r="BJ37" i="3"/>
  <c r="BJ38" i="3"/>
  <c r="BJ41" i="3"/>
  <c r="BJ46" i="3"/>
  <c r="BJ47" i="3"/>
  <c r="BJ50" i="3"/>
  <c r="BJ51" i="3"/>
  <c r="BJ53" i="3"/>
  <c r="BJ54" i="3"/>
  <c r="BJ57" i="3"/>
  <c r="BJ58" i="3"/>
  <c r="BJ61" i="3"/>
  <c r="BJ62" i="3"/>
  <c r="BJ63" i="3"/>
  <c r="BJ64" i="3"/>
  <c r="BJ65" i="3"/>
  <c r="BJ67" i="3"/>
  <c r="BJ68" i="3"/>
  <c r="BJ70" i="3"/>
  <c r="BJ71" i="3"/>
  <c r="BJ73" i="3"/>
  <c r="BJ75" i="3"/>
  <c r="BJ78" i="3"/>
  <c r="BJ79" i="3"/>
  <c r="BJ80" i="3"/>
  <c r="BJ82" i="3"/>
  <c r="BJ83" i="3"/>
  <c r="BJ84" i="3"/>
  <c r="BJ86" i="3"/>
  <c r="BJ87" i="3"/>
  <c r="BJ89" i="3"/>
  <c r="BJ90" i="3"/>
  <c r="BJ91" i="3"/>
  <c r="BJ92" i="3"/>
  <c r="BJ95" i="3"/>
  <c r="BJ99" i="3"/>
  <c r="BJ100" i="3"/>
  <c r="BJ101" i="3"/>
  <c r="BJ102" i="3"/>
  <c r="BJ103" i="3"/>
  <c r="BJ104" i="3"/>
  <c r="BJ105" i="3"/>
  <c r="BJ109" i="3"/>
  <c r="BJ111" i="3"/>
  <c r="BJ112" i="3"/>
  <c r="BJ117" i="3"/>
  <c r="BJ118" i="3"/>
  <c r="BJ121" i="3"/>
  <c r="BJ122" i="3"/>
  <c r="BJ124" i="3"/>
  <c r="BJ127" i="3"/>
  <c r="BJ128" i="3"/>
  <c r="BJ129" i="3"/>
  <c r="BJ130" i="3"/>
  <c r="BJ131" i="3"/>
  <c r="BJ134" i="3"/>
  <c r="BJ138" i="3"/>
  <c r="BJ140" i="3"/>
  <c r="BJ141" i="3"/>
  <c r="BJ142" i="3"/>
  <c r="BJ143" i="3"/>
  <c r="BJ147" i="3"/>
  <c r="BJ149" i="3"/>
  <c r="BJ150" i="3"/>
  <c r="BJ151" i="3"/>
  <c r="BJ152" i="3"/>
  <c r="BJ154" i="3"/>
  <c r="BJ155" i="3"/>
  <c r="BJ156" i="3"/>
  <c r="BJ159" i="3"/>
  <c r="BJ160" i="3"/>
  <c r="BJ161" i="3"/>
  <c r="BJ169" i="3"/>
  <c r="BJ170" i="3"/>
  <c r="BJ172" i="3"/>
  <c r="BJ173" i="3"/>
  <c r="BJ174" i="3"/>
  <c r="BJ176" i="3"/>
  <c r="BJ5" i="3"/>
  <c r="BJ11" i="3"/>
  <c r="BJ15" i="3"/>
  <c r="A129" i="9"/>
  <c r="A121" i="9"/>
  <c r="A109" i="9"/>
  <c r="A77" i="9"/>
  <c r="A61" i="9"/>
  <c r="A49" i="9"/>
  <c r="A37" i="9"/>
  <c r="A124" i="9"/>
  <c r="A88" i="9"/>
  <c r="A117" i="9"/>
  <c r="A93" i="9"/>
  <c r="A81" i="9"/>
  <c r="A69" i="9"/>
  <c r="A57" i="9"/>
  <c r="A45" i="9"/>
  <c r="A111" i="9"/>
  <c r="A107" i="9"/>
  <c r="A71" i="9"/>
  <c r="A47" i="9"/>
  <c r="A125" i="9"/>
  <c r="A101" i="9"/>
  <c r="A85" i="9"/>
  <c r="A73" i="9"/>
  <c r="A65" i="9"/>
  <c r="A53" i="9"/>
  <c r="A33" i="9"/>
  <c r="A142" i="9"/>
  <c r="A126" i="9"/>
  <c r="A102" i="9"/>
  <c r="A62" i="9"/>
  <c r="H106" i="4"/>
  <c r="P106" i="4" s="1"/>
  <c r="H18" i="4"/>
  <c r="P18" i="4" s="1"/>
  <c r="A174" i="9"/>
  <c r="A170" i="6"/>
  <c r="A170" i="9"/>
  <c r="A166" i="6"/>
  <c r="A157" i="6"/>
  <c r="A157" i="9"/>
  <c r="A153" i="9"/>
  <c r="A149" i="6"/>
  <c r="A149" i="9"/>
  <c r="A145" i="6"/>
  <c r="A141" i="6"/>
  <c r="A141" i="9"/>
  <c r="A137" i="9"/>
  <c r="A133" i="6"/>
  <c r="A133" i="9"/>
  <c r="A29" i="6"/>
  <c r="A29" i="9"/>
  <c r="A25" i="9"/>
  <c r="A21" i="6"/>
  <c r="A21" i="9"/>
  <c r="A17" i="6"/>
  <c r="A17" i="9"/>
  <c r="A13" i="6"/>
  <c r="A13" i="9"/>
  <c r="A9" i="9"/>
  <c r="A5" i="6"/>
  <c r="A5" i="9"/>
  <c r="A56" i="9"/>
  <c r="A40" i="6"/>
  <c r="A24" i="6"/>
  <c r="A8" i="9"/>
  <c r="A159" i="6"/>
  <c r="A151" i="6"/>
  <c r="A135" i="6"/>
  <c r="A135" i="9"/>
  <c r="A15" i="9"/>
  <c r="A7" i="9"/>
  <c r="A54" i="6"/>
  <c r="A46" i="9"/>
  <c r="A42" i="9"/>
  <c r="A30" i="9"/>
  <c r="A26" i="9"/>
  <c r="A22" i="9"/>
  <c r="A6" i="6"/>
  <c r="A6" i="9"/>
  <c r="B145" i="3"/>
  <c r="B143" i="6" s="1"/>
  <c r="B19" i="3"/>
  <c r="B17" i="6" s="1"/>
  <c r="B15" i="3"/>
  <c r="B13" i="6" s="1"/>
  <c r="B7" i="3"/>
  <c r="B176" i="3"/>
  <c r="B174" i="9" s="1"/>
  <c r="B171" i="3"/>
  <c r="B169" i="9" s="1"/>
  <c r="B168" i="3"/>
  <c r="B166" i="9" s="1"/>
  <c r="B153" i="9"/>
  <c r="B150" i="3"/>
  <c r="B148" i="9" s="1"/>
  <c r="B147" i="3"/>
  <c r="B145" i="9" s="1"/>
  <c r="A132" i="6"/>
  <c r="A112" i="6"/>
  <c r="B102" i="3"/>
  <c r="B100" i="9" s="1"/>
  <c r="B86" i="3"/>
  <c r="B84" i="9" s="1"/>
  <c r="B70" i="3"/>
  <c r="B68" i="9" s="1"/>
  <c r="B173" i="3"/>
  <c r="B171" i="9" s="1"/>
  <c r="B157" i="3"/>
  <c r="A134" i="6"/>
  <c r="B129" i="3"/>
  <c r="B127" i="9" s="1"/>
  <c r="A111" i="6"/>
  <c r="A103" i="6"/>
  <c r="B89" i="3"/>
  <c r="B87" i="9" s="1"/>
  <c r="A79" i="6"/>
  <c r="B65" i="3"/>
  <c r="B63" i="9" s="1"/>
  <c r="B49" i="3"/>
  <c r="A39" i="6"/>
  <c r="B172" i="3"/>
  <c r="B170" i="9"/>
  <c r="B159" i="3"/>
  <c r="B157" i="9" s="1"/>
  <c r="B151" i="3"/>
  <c r="B143" i="3"/>
  <c r="B138" i="3"/>
  <c r="B136" i="9" s="1"/>
  <c r="B135" i="3"/>
  <c r="B128" i="3"/>
  <c r="A122" i="6"/>
  <c r="A114" i="6"/>
  <c r="A102" i="6"/>
  <c r="B104" i="3"/>
  <c r="B96" i="3"/>
  <c r="B94" i="9" s="1"/>
  <c r="A86" i="6"/>
  <c r="B76" i="3"/>
  <c r="A70" i="6"/>
  <c r="B64" i="3"/>
  <c r="AC173" i="5"/>
  <c r="A167" i="6"/>
  <c r="AC160" i="5"/>
  <c r="A154" i="6"/>
  <c r="B156" i="3"/>
  <c r="AC152" i="5"/>
  <c r="AC144" i="5"/>
  <c r="A138" i="6"/>
  <c r="B140" i="3"/>
  <c r="AC136" i="5"/>
  <c r="A129" i="6"/>
  <c r="B129" i="9"/>
  <c r="A125" i="6"/>
  <c r="B127" i="3"/>
  <c r="B125" i="9" s="1"/>
  <c r="A117" i="6"/>
  <c r="B119" i="3"/>
  <c r="B117" i="6" s="1"/>
  <c r="A113" i="6"/>
  <c r="B115" i="3"/>
  <c r="A109" i="6"/>
  <c r="B111" i="3"/>
  <c r="A105" i="6"/>
  <c r="B107" i="3"/>
  <c r="B105" i="6" s="1"/>
  <c r="A101" i="6"/>
  <c r="B103" i="3"/>
  <c r="A97" i="6"/>
  <c r="A93" i="6"/>
  <c r="B95" i="3"/>
  <c r="B93" i="9" s="1"/>
  <c r="A85" i="6"/>
  <c r="B87" i="3"/>
  <c r="B85" i="9" s="1"/>
  <c r="A81" i="6"/>
  <c r="B83" i="3"/>
  <c r="B81" i="9" s="1"/>
  <c r="A77" i="6"/>
  <c r="B79" i="3"/>
  <c r="A73" i="6"/>
  <c r="B75" i="3"/>
  <c r="A69" i="6"/>
  <c r="B71" i="3"/>
  <c r="B69" i="9" s="1"/>
  <c r="A65" i="6"/>
  <c r="B65" i="9"/>
  <c r="A61" i="6"/>
  <c r="B63" i="3"/>
  <c r="B61" i="6" s="1"/>
  <c r="A57" i="6"/>
  <c r="B57" i="9"/>
  <c r="A53" i="6"/>
  <c r="B55" i="3"/>
  <c r="B53" i="9" s="1"/>
  <c r="A49" i="6"/>
  <c r="B51" i="3"/>
  <c r="B49" i="9" s="1"/>
  <c r="A45" i="6"/>
  <c r="B47" i="3"/>
  <c r="A41" i="6"/>
  <c r="B43" i="3"/>
  <c r="B41" i="6" s="1"/>
  <c r="A37" i="6"/>
  <c r="B39" i="3"/>
  <c r="A33" i="6"/>
  <c r="B35" i="3"/>
  <c r="B33" i="9" s="1"/>
  <c r="B31" i="3"/>
  <c r="B29" i="9" s="1"/>
  <c r="B27" i="3"/>
  <c r="B25" i="3"/>
  <c r="B23" i="3"/>
  <c r="B21" i="9" s="1"/>
  <c r="AC18" i="5"/>
  <c r="AC16" i="5"/>
  <c r="AC12" i="5"/>
  <c r="AC8" i="5"/>
  <c r="AC6" i="5"/>
  <c r="AC4" i="5"/>
  <c r="F36" i="4"/>
  <c r="AB36" i="4" s="1"/>
  <c r="F49" i="4"/>
  <c r="AB49" i="4" s="1"/>
  <c r="F58" i="4"/>
  <c r="AB58" i="4" s="1"/>
  <c r="F52" i="4"/>
  <c r="AB52" i="4" s="1"/>
  <c r="F33" i="4"/>
  <c r="F25" i="4"/>
  <c r="AB25" i="4" s="1"/>
  <c r="F67" i="4"/>
  <c r="AB67" i="4" s="1"/>
  <c r="F75" i="4"/>
  <c r="AB75" i="4" s="1"/>
  <c r="F98" i="4"/>
  <c r="AB98" i="4" s="1"/>
  <c r="F24" i="4"/>
  <c r="F6" i="4"/>
  <c r="AB6" i="4" s="1"/>
  <c r="F23" i="4"/>
  <c r="AB23" i="4" s="1"/>
  <c r="F93" i="4"/>
  <c r="F31" i="4"/>
  <c r="H31" i="4" s="1"/>
  <c r="P31" i="4" s="1"/>
  <c r="F94" i="4"/>
  <c r="AB94" i="4" s="1"/>
  <c r="F127" i="4"/>
  <c r="F72" i="4"/>
  <c r="F62" i="4"/>
  <c r="AB62" i="4" s="1"/>
  <c r="F50" i="4"/>
  <c r="AB50" i="4" s="1"/>
  <c r="F53" i="4"/>
  <c r="AB53" i="4" s="1"/>
  <c r="F113" i="4"/>
  <c r="AB113" i="4" s="1"/>
  <c r="F86" i="4"/>
  <c r="AB86" i="4" s="1"/>
  <c r="F95" i="4"/>
  <c r="AB95" i="4" s="1"/>
  <c r="F60" i="4"/>
  <c r="AB60" i="4" s="1"/>
  <c r="F44" i="4"/>
  <c r="AB44" i="4" s="1"/>
  <c r="F57" i="4"/>
  <c r="F10" i="4"/>
  <c r="H10" i="4" s="1"/>
  <c r="P10" i="4" s="1"/>
  <c r="F126" i="4"/>
  <c r="AB126" i="4" s="1"/>
  <c r="F138" i="4"/>
  <c r="AB138" i="4" s="1"/>
  <c r="F78" i="4"/>
  <c r="AB78" i="4" s="1"/>
  <c r="F79" i="4"/>
  <c r="AB79" i="4" s="1"/>
  <c r="F146" i="4"/>
  <c r="AB146" i="4" s="1"/>
  <c r="F168" i="4"/>
  <c r="AB168" i="4" s="1"/>
  <c r="F21" i="4"/>
  <c r="AB21" i="4" s="1"/>
  <c r="F8" i="4"/>
  <c r="F16" i="4"/>
  <c r="F145" i="4"/>
  <c r="H145" i="4" s="1"/>
  <c r="P145" i="4" s="1"/>
  <c r="F125" i="4"/>
  <c r="F135" i="4"/>
  <c r="H135" i="4" s="1"/>
  <c r="P135" i="4" s="1"/>
  <c r="F7" i="4"/>
  <c r="AB7" i="4" s="1"/>
  <c r="F141" i="4"/>
  <c r="F102" i="4"/>
  <c r="F158" i="4"/>
  <c r="H158" i="4" s="1"/>
  <c r="P158" i="4" s="1"/>
  <c r="F161" i="4"/>
  <c r="AB161" i="4" s="1"/>
  <c r="F66" i="4"/>
  <c r="F56" i="4"/>
  <c r="AB56" i="4" s="1"/>
  <c r="F22" i="4"/>
  <c r="F117" i="4"/>
  <c r="AB117" i="4" s="1"/>
  <c r="F70" i="4"/>
  <c r="AB70" i="4" s="1"/>
  <c r="F68" i="4"/>
  <c r="AB68" i="4" s="1"/>
  <c r="F148" i="4"/>
  <c r="F164" i="4"/>
  <c r="AB164" i="4" s="1"/>
  <c r="F170" i="4"/>
  <c r="AB170" i="4" s="1"/>
  <c r="F155" i="4"/>
  <c r="AB155" i="4" s="1"/>
  <c r="F114" i="4"/>
  <c r="AB114" i="4" s="1"/>
  <c r="F107" i="4"/>
  <c r="AB107" i="4" s="1"/>
  <c r="F76" i="4"/>
  <c r="F5" i="4"/>
  <c r="AB5" i="4" s="1"/>
  <c r="F140" i="4"/>
  <c r="H140" i="4" s="1"/>
  <c r="P140" i="4" s="1"/>
  <c r="F4" i="4"/>
  <c r="AB4" i="4" s="1"/>
  <c r="F150" i="4"/>
  <c r="AB150" i="4" s="1"/>
  <c r="F92" i="4"/>
  <c r="AB92" i="4" s="1"/>
  <c r="F63" i="4"/>
  <c r="H63" i="4" s="1"/>
  <c r="P63" i="4" s="1"/>
  <c r="F119" i="4"/>
  <c r="F165" i="4"/>
  <c r="AB165" i="4" s="1"/>
  <c r="F45" i="4"/>
  <c r="H45" i="4" s="1"/>
  <c r="P45" i="4" s="1"/>
  <c r="F167" i="4"/>
  <c r="H167" i="4" s="1"/>
  <c r="P167" i="4" s="1"/>
  <c r="F122" i="4"/>
  <c r="AB122" i="4" s="1"/>
  <c r="F157" i="4"/>
  <c r="AB157" i="4" s="1"/>
  <c r="F166" i="4"/>
  <c r="AB166" i="4" s="1"/>
  <c r="F48" i="4"/>
  <c r="H48" i="4" s="1"/>
  <c r="P48" i="4" s="1"/>
  <c r="F144" i="4"/>
  <c r="F9" i="4"/>
  <c r="F154" i="4"/>
  <c r="F64" i="4"/>
  <c r="H64" i="4" s="1"/>
  <c r="P64" i="4" s="1"/>
  <c r="F73" i="4"/>
  <c r="F149" i="4"/>
  <c r="F120" i="4"/>
  <c r="H120" i="4" s="1"/>
  <c r="P120" i="4" s="1"/>
  <c r="F137" i="4"/>
  <c r="F129" i="4"/>
  <c r="AB129" i="4" s="1"/>
  <c r="F171" i="4"/>
  <c r="F69" i="4"/>
  <c r="F162" i="4"/>
  <c r="AC14" i="5"/>
  <c r="B58" i="3"/>
  <c r="B56" i="6" s="1"/>
  <c r="B52" i="3"/>
  <c r="B46" i="3"/>
  <c r="B44" i="9" s="1"/>
  <c r="B36" i="3"/>
  <c r="B34" i="9" s="1"/>
  <c r="B24" i="3"/>
  <c r="B22" i="9" s="1"/>
  <c r="B16" i="3"/>
  <c r="B14" i="9" s="1"/>
  <c r="B12" i="3"/>
  <c r="B10" i="9" s="1"/>
  <c r="B8" i="3"/>
  <c r="B6" i="6" s="1"/>
  <c r="F174" i="4"/>
  <c r="H174" i="4" s="1"/>
  <c r="P174" i="4" s="1"/>
  <c r="BJ19" i="3"/>
  <c r="BJ9" i="3"/>
  <c r="BI19" i="3"/>
  <c r="BI9" i="3"/>
  <c r="BJ13" i="3"/>
  <c r="BI13" i="3"/>
  <c r="E177" i="4"/>
  <c r="CD178" i="3"/>
  <c r="B151" i="6"/>
  <c r="AC49" i="5"/>
  <c r="AC32" i="5"/>
  <c r="AC11" i="5"/>
  <c r="AC19" i="5"/>
  <c r="AC27" i="5"/>
  <c r="AC35" i="5"/>
  <c r="AC43" i="5"/>
  <c r="AC51" i="5"/>
  <c r="AC59" i="5"/>
  <c r="AC26" i="5"/>
  <c r="B33" i="6"/>
  <c r="AC34" i="5"/>
  <c r="AC42" i="5"/>
  <c r="B49" i="6"/>
  <c r="AC50" i="5"/>
  <c r="AC58" i="5"/>
  <c r="B57" i="6"/>
  <c r="B65" i="6"/>
  <c r="AC66" i="5"/>
  <c r="AC74" i="5"/>
  <c r="AC82" i="5"/>
  <c r="AC90" i="5"/>
  <c r="AC98" i="5"/>
  <c r="AC106" i="5"/>
  <c r="AC114" i="5"/>
  <c r="AC122" i="5"/>
  <c r="AC130" i="5"/>
  <c r="B129" i="6"/>
  <c r="AC139" i="5"/>
  <c r="AC147" i="5"/>
  <c r="AC155" i="5"/>
  <c r="AC168" i="5"/>
  <c r="AC67" i="5"/>
  <c r="AC75" i="5"/>
  <c r="AC83" i="5"/>
  <c r="B82" i="6"/>
  <c r="AC91" i="5"/>
  <c r="AC99" i="5"/>
  <c r="AC107" i="5"/>
  <c r="AC115" i="5"/>
  <c r="AC123" i="5"/>
  <c r="B122" i="6"/>
  <c r="AC131" i="5"/>
  <c r="AC150" i="5"/>
  <c r="AC166" i="5"/>
  <c r="AC148" i="5"/>
  <c r="AC159" i="5"/>
  <c r="AC141" i="5"/>
  <c r="AC167" i="5"/>
  <c r="B166" i="6"/>
  <c r="AC9" i="5"/>
  <c r="AC33" i="5"/>
  <c r="AC57" i="5"/>
  <c r="AC25" i="5"/>
  <c r="AC5" i="5"/>
  <c r="AC13" i="5"/>
  <c r="AC21" i="5"/>
  <c r="AC29" i="5"/>
  <c r="AC37" i="5"/>
  <c r="AC45" i="5"/>
  <c r="AC53" i="5"/>
  <c r="BI7" i="3"/>
  <c r="BJ7" i="3"/>
  <c r="AC20" i="5"/>
  <c r="AC28" i="5"/>
  <c r="AC142" i="5"/>
  <c r="AC153" i="5"/>
  <c r="AC36" i="5"/>
  <c r="AC44" i="5"/>
  <c r="AC52" i="5"/>
  <c r="AC60" i="5"/>
  <c r="AC68" i="5"/>
  <c r="AC76" i="5"/>
  <c r="AC84" i="5"/>
  <c r="AC92" i="5"/>
  <c r="AC100" i="5"/>
  <c r="AC108" i="5"/>
  <c r="AC116" i="5"/>
  <c r="AC124" i="5"/>
  <c r="AC132" i="5"/>
  <c r="AC140" i="5"/>
  <c r="AC151" i="5"/>
  <c r="AC61" i="5"/>
  <c r="AC69" i="5"/>
  <c r="AC77" i="5"/>
  <c r="AC85" i="5"/>
  <c r="AC93" i="5"/>
  <c r="AC101" i="5"/>
  <c r="AC109" i="5"/>
  <c r="AC117" i="5"/>
  <c r="AC125" i="5"/>
  <c r="AC133" i="5"/>
  <c r="AC154" i="5"/>
  <c r="AC170" i="5"/>
  <c r="B169" i="6"/>
  <c r="AC17" i="5"/>
  <c r="AC41" i="5"/>
  <c r="AC7" i="5"/>
  <c r="AC15" i="5"/>
  <c r="AC23" i="5"/>
  <c r="B22" i="6"/>
  <c r="AC31" i="5"/>
  <c r="AC39" i="5"/>
  <c r="AC47" i="5"/>
  <c r="AC55" i="5"/>
  <c r="AC22" i="5"/>
  <c r="B21" i="6"/>
  <c r="AC30" i="5"/>
  <c r="AC38" i="5"/>
  <c r="AC46" i="5"/>
  <c r="AC54" i="5"/>
  <c r="B53" i="6"/>
  <c r="AC62" i="5"/>
  <c r="AC70" i="5"/>
  <c r="AC78" i="5"/>
  <c r="AC86" i="5"/>
  <c r="B93" i="6"/>
  <c r="AC94" i="5"/>
  <c r="AC102" i="5"/>
  <c r="AC110" i="5"/>
  <c r="AC118" i="5"/>
  <c r="AC126" i="5"/>
  <c r="AC63" i="5"/>
  <c r="AC71" i="5"/>
  <c r="AC79" i="5"/>
  <c r="AC87" i="5"/>
  <c r="AC95" i="5"/>
  <c r="AC103" i="5"/>
  <c r="AC111" i="5"/>
  <c r="AC119" i="5"/>
  <c r="AC127" i="5"/>
  <c r="AC134" i="5"/>
  <c r="AC145" i="5"/>
  <c r="B170" i="6"/>
  <c r="AC171" i="5"/>
  <c r="AC143" i="5"/>
  <c r="B142" i="6"/>
  <c r="AC169" i="5"/>
  <c r="AC146" i="5"/>
  <c r="AC157" i="5"/>
  <c r="AC24" i="5"/>
  <c r="AC137" i="5"/>
  <c r="B157" i="6"/>
  <c r="AC158" i="5"/>
  <c r="AC174" i="5"/>
  <c r="AC40" i="5"/>
  <c r="AC48" i="5"/>
  <c r="AC56" i="5"/>
  <c r="AC64" i="5"/>
  <c r="AC72" i="5"/>
  <c r="AC80" i="5"/>
  <c r="AC88" i="5"/>
  <c r="AC96" i="5"/>
  <c r="AC104" i="5"/>
  <c r="AC112" i="5"/>
  <c r="B111" i="6"/>
  <c r="AC120" i="5"/>
  <c r="AC128" i="5"/>
  <c r="AC135" i="5"/>
  <c r="AC156" i="5"/>
  <c r="AC172" i="5"/>
  <c r="AC65" i="5"/>
  <c r="AC73" i="5"/>
  <c r="AC81" i="5"/>
  <c r="AC89" i="5"/>
  <c r="AC97" i="5"/>
  <c r="AC105" i="5"/>
  <c r="AC113" i="5"/>
  <c r="AC121" i="5"/>
  <c r="AC129" i="5"/>
  <c r="AC138" i="5"/>
  <c r="AC149" i="5"/>
  <c r="AC175" i="5"/>
  <c r="B174" i="6"/>
  <c r="BI32" i="3"/>
  <c r="BI30" i="3"/>
  <c r="BI18" i="3"/>
  <c r="BJ18" i="3"/>
  <c r="BI34" i="3"/>
  <c r="BJ34" i="3"/>
  <c r="BH178" i="3"/>
  <c r="BI24" i="3"/>
  <c r="BJ24" i="3"/>
  <c r="BI16" i="3"/>
  <c r="BJ16" i="3"/>
  <c r="BI14" i="3"/>
  <c r="AC3" i="5"/>
  <c r="BU178" i="3"/>
  <c r="BJ22" i="3"/>
  <c r="BI22" i="3"/>
  <c r="BI8" i="3"/>
  <c r="BJ8" i="3"/>
  <c r="BI6" i="3"/>
  <c r="BJ28" i="3"/>
  <c r="BI28" i="3"/>
  <c r="BJ23" i="3"/>
  <c r="BI23" i="3"/>
  <c r="BI10" i="3"/>
  <c r="BI27" i="3"/>
  <c r="BI33" i="3"/>
  <c r="BI31" i="3"/>
  <c r="BI21" i="3"/>
  <c r="BI35" i="3"/>
  <c r="BJ12" i="3"/>
  <c r="BI12" i="3"/>
  <c r="BJ25" i="3"/>
  <c r="BI25" i="3"/>
  <c r="BJ29" i="3"/>
  <c r="BI29" i="3"/>
  <c r="BI20" i="3"/>
  <c r="BI26" i="3"/>
  <c r="BJ26" i="3"/>
  <c r="CL178" i="3"/>
  <c r="CM178" i="3"/>
  <c r="CK180" i="3"/>
  <c r="CK178" i="3"/>
  <c r="H177" i="5"/>
  <c r="H54" i="4" l="1"/>
  <c r="P54" i="4" s="1"/>
  <c r="H111" i="4"/>
  <c r="P111" i="4" s="1"/>
  <c r="B79" i="9"/>
  <c r="B79" i="6"/>
  <c r="B146" i="3"/>
  <c r="A144" i="6"/>
  <c r="A80" i="9"/>
  <c r="B82" i="3"/>
  <c r="B78" i="3"/>
  <c r="A76" i="9"/>
  <c r="A20" i="6"/>
  <c r="B22" i="3"/>
  <c r="AA25" i="6"/>
  <c r="AX32" i="3"/>
  <c r="BJ32" i="3"/>
  <c r="BA40" i="3"/>
  <c r="AY40" i="3"/>
  <c r="BJ40" i="3"/>
  <c r="AX40" i="3"/>
  <c r="AY52" i="3"/>
  <c r="BA52" i="3"/>
  <c r="BJ52" i="3"/>
  <c r="AX52" i="3"/>
  <c r="BA77" i="3"/>
  <c r="AX77" i="3"/>
  <c r="BA81" i="3"/>
  <c r="AY81" i="3"/>
  <c r="BA96" i="3"/>
  <c r="AX96" i="3"/>
  <c r="AY169" i="3"/>
  <c r="BA169" i="3"/>
  <c r="BA173" i="3"/>
  <c r="AY173" i="3"/>
  <c r="BA139" i="3"/>
  <c r="BJ139" i="3"/>
  <c r="AY139" i="3"/>
  <c r="B63" i="6"/>
  <c r="B116" i="6"/>
  <c r="B44" i="6"/>
  <c r="B26" i="3"/>
  <c r="B24" i="6" s="1"/>
  <c r="B50" i="3"/>
  <c r="B25" i="9"/>
  <c r="B25" i="6"/>
  <c r="B102" i="9"/>
  <c r="B102" i="6"/>
  <c r="A84" i="6"/>
  <c r="B122" i="3"/>
  <c r="A148" i="6"/>
  <c r="A28" i="9"/>
  <c r="A44" i="9"/>
  <c r="A92" i="9"/>
  <c r="A95" i="9"/>
  <c r="B97" i="3"/>
  <c r="A55" i="6"/>
  <c r="A55" i="9"/>
  <c r="A15" i="6"/>
  <c r="B17" i="3"/>
  <c r="B15" i="9" s="1"/>
  <c r="BR73" i="3"/>
  <c r="AB43" i="4"/>
  <c r="H43" i="4"/>
  <c r="P43" i="4" s="1"/>
  <c r="BA112" i="3"/>
  <c r="AY112" i="3"/>
  <c r="AY116" i="3"/>
  <c r="BA116" i="3"/>
  <c r="AX116" i="3"/>
  <c r="V56" i="5"/>
  <c r="R55" i="8"/>
  <c r="X11" i="6"/>
  <c r="Z11" i="6" s="1"/>
  <c r="AB11" i="6" s="1"/>
  <c r="X10" i="6"/>
  <c r="Z10" i="6" s="1"/>
  <c r="G46" i="8" s="1"/>
  <c r="I46" i="8" s="1"/>
  <c r="J46" i="8" s="1"/>
  <c r="K46" i="8" s="1"/>
  <c r="O112" i="8" s="1"/>
  <c r="F46" i="8"/>
  <c r="H46" i="8" s="1"/>
  <c r="F6" i="8"/>
  <c r="H6" i="8" s="1"/>
  <c r="F22" i="8"/>
  <c r="H22" i="8" s="1"/>
  <c r="F39" i="8"/>
  <c r="H39" i="8" s="1"/>
  <c r="F15" i="8"/>
  <c r="H15" i="8" s="1"/>
  <c r="F32" i="8"/>
  <c r="H32" i="8" s="1"/>
  <c r="F12" i="8"/>
  <c r="H12" i="8" s="1"/>
  <c r="F3" i="8"/>
  <c r="H3" i="8" s="1"/>
  <c r="F10" i="8"/>
  <c r="H10" i="8" s="1"/>
  <c r="F36" i="8"/>
  <c r="H36" i="8" s="1"/>
  <c r="F13" i="8"/>
  <c r="H13" i="8" s="1"/>
  <c r="F4" i="8"/>
  <c r="H4" i="8" s="1"/>
  <c r="F43" i="8"/>
  <c r="H43" i="8" s="1"/>
  <c r="F19" i="8"/>
  <c r="H19" i="8" s="1"/>
  <c r="F24" i="8"/>
  <c r="H24" i="8" s="1"/>
  <c r="B14" i="6"/>
  <c r="B143" i="9"/>
  <c r="B18" i="3"/>
  <c r="B126" i="9"/>
  <c r="B126" i="6"/>
  <c r="B73" i="3"/>
  <c r="A108" i="6"/>
  <c r="A140" i="6"/>
  <c r="A16" i="9"/>
  <c r="A52" i="9"/>
  <c r="H71" i="4"/>
  <c r="P71" i="4" s="1"/>
  <c r="A127" i="9"/>
  <c r="A72" i="9"/>
  <c r="BJ77" i="3"/>
  <c r="BJ36" i="3"/>
  <c r="A114" i="9"/>
  <c r="B116" i="3"/>
  <c r="B114" i="6" s="1"/>
  <c r="A78" i="6"/>
  <c r="A78" i="9"/>
  <c r="A54" i="9"/>
  <c r="B56" i="3"/>
  <c r="A34" i="9"/>
  <c r="A34" i="6"/>
  <c r="BR148" i="3"/>
  <c r="BR48" i="3"/>
  <c r="B158" i="3"/>
  <c r="A156" i="9"/>
  <c r="A156" i="6"/>
  <c r="A132" i="9"/>
  <c r="B134" i="3"/>
  <c r="B132" i="6" s="1"/>
  <c r="B72" i="6"/>
  <c r="B72" i="9"/>
  <c r="A12" i="9"/>
  <c r="B14" i="3"/>
  <c r="A4" i="9"/>
  <c r="B6" i="3"/>
  <c r="B4" i="9" s="1"/>
  <c r="BA63" i="3"/>
  <c r="AX63" i="3"/>
  <c r="AY73" i="3"/>
  <c r="AX73" i="3"/>
  <c r="BA148" i="3"/>
  <c r="AY148" i="3"/>
  <c r="X13" i="6"/>
  <c r="Z13" i="6" s="1"/>
  <c r="X12" i="6"/>
  <c r="Z12" i="6" s="1"/>
  <c r="M167" i="6" s="1"/>
  <c r="R167" i="6" s="1"/>
  <c r="B100" i="6"/>
  <c r="B38" i="3"/>
  <c r="B37" i="9"/>
  <c r="B37" i="6"/>
  <c r="B47" i="9"/>
  <c r="B47" i="6"/>
  <c r="A72" i="6"/>
  <c r="A100" i="6"/>
  <c r="B142" i="3"/>
  <c r="A68" i="9"/>
  <c r="A136" i="9"/>
  <c r="B174" i="3"/>
  <c r="A172" i="9"/>
  <c r="A143" i="9"/>
  <c r="A143" i="6"/>
  <c r="BR69" i="3"/>
  <c r="AB12" i="6"/>
  <c r="M131" i="6" s="1"/>
  <c r="R131" i="6" s="1"/>
  <c r="AY96" i="3"/>
  <c r="BA104" i="3"/>
  <c r="AX104" i="3"/>
  <c r="BA160" i="3"/>
  <c r="AX160" i="3"/>
  <c r="V171" i="5"/>
  <c r="V32" i="5"/>
  <c r="R31" i="8"/>
  <c r="B127" i="6"/>
  <c r="B136" i="6"/>
  <c r="B69" i="6"/>
  <c r="B30" i="3"/>
  <c r="B42" i="3"/>
  <c r="B101" i="9"/>
  <c r="B101" i="6"/>
  <c r="A95" i="6"/>
  <c r="A60" i="6"/>
  <c r="B90" i="3"/>
  <c r="A120" i="6"/>
  <c r="B9" i="3"/>
  <c r="A23" i="9"/>
  <c r="A172" i="6"/>
  <c r="A32" i="9"/>
  <c r="A79" i="9"/>
  <c r="A108" i="9"/>
  <c r="A144" i="9"/>
  <c r="BJ116" i="3"/>
  <c r="BJ81" i="3"/>
  <c r="BJ55" i="3"/>
  <c r="BJ44" i="3"/>
  <c r="B136" i="3"/>
  <c r="A134" i="9"/>
  <c r="B90" i="9"/>
  <c r="B90" i="6"/>
  <c r="A46" i="6"/>
  <c r="B48" i="3"/>
  <c r="A38" i="9"/>
  <c r="B40" i="3"/>
  <c r="B38" i="6" s="1"/>
  <c r="A30" i="6"/>
  <c r="B32" i="3"/>
  <c r="A18" i="9"/>
  <c r="A18" i="6"/>
  <c r="BR173" i="3"/>
  <c r="BR92" i="3"/>
  <c r="BR55" i="3"/>
  <c r="BR52" i="3"/>
  <c r="F40" i="8"/>
  <c r="H40" i="8" s="1"/>
  <c r="F14" i="8"/>
  <c r="H14" i="8" s="1"/>
  <c r="F17" i="8"/>
  <c r="H17" i="8" s="1"/>
  <c r="AY104" i="3"/>
  <c r="AY160" i="3"/>
  <c r="AX169" i="3"/>
  <c r="AX81" i="3"/>
  <c r="AX101" i="3"/>
  <c r="BA101" i="3"/>
  <c r="AY101" i="3"/>
  <c r="BA113" i="3"/>
  <c r="AY113" i="3"/>
  <c r="BA117" i="3"/>
  <c r="AX117" i="3"/>
  <c r="BA127" i="3"/>
  <c r="AY127" i="3"/>
  <c r="R35" i="8"/>
  <c r="R177" i="5"/>
  <c r="BJ21" i="3"/>
  <c r="B87" i="6"/>
  <c r="B94" i="6"/>
  <c r="B85" i="6"/>
  <c r="B108" i="6"/>
  <c r="B68" i="6"/>
  <c r="B10" i="3"/>
  <c r="B8" i="6" s="1"/>
  <c r="B20" i="3"/>
  <c r="B34" i="3"/>
  <c r="B44" i="3"/>
  <c r="B42" i="9" s="1"/>
  <c r="B54" i="3"/>
  <c r="B72" i="3"/>
  <c r="A90" i="6"/>
  <c r="B41" i="3"/>
  <c r="B57" i="3"/>
  <c r="B55" i="9" s="1"/>
  <c r="B105" i="3"/>
  <c r="A142" i="6"/>
  <c r="A76" i="6"/>
  <c r="A92" i="6"/>
  <c r="B114" i="3"/>
  <c r="B112" i="9" s="1"/>
  <c r="B126" i="3"/>
  <c r="A14" i="9"/>
  <c r="A38" i="6"/>
  <c r="A151" i="9"/>
  <c r="A4" i="6"/>
  <c r="A20" i="9"/>
  <c r="A36" i="6"/>
  <c r="H91" i="4"/>
  <c r="P91" i="4" s="1"/>
  <c r="A94" i="9"/>
  <c r="A171" i="9"/>
  <c r="A87" i="9"/>
  <c r="BJ157" i="3"/>
  <c r="BJ148" i="3"/>
  <c r="BJ113" i="3"/>
  <c r="BJ108" i="3"/>
  <c r="BJ96" i="3"/>
  <c r="BJ48" i="3"/>
  <c r="BR155" i="3"/>
  <c r="BR126" i="3"/>
  <c r="BR112" i="3"/>
  <c r="BR108" i="3"/>
  <c r="BR104" i="3"/>
  <c r="BR85" i="3"/>
  <c r="BR81" i="3"/>
  <c r="F27" i="8"/>
  <c r="H27" i="8" s="1"/>
  <c r="F35" i="8"/>
  <c r="H35" i="8" s="1"/>
  <c r="F33" i="8"/>
  <c r="H33" i="8" s="1"/>
  <c r="F9" i="8"/>
  <c r="H9" i="8" s="1"/>
  <c r="AX157" i="3"/>
  <c r="AY120" i="3"/>
  <c r="AX148" i="3"/>
  <c r="AY117" i="3"/>
  <c r="AX48" i="3"/>
  <c r="AY16" i="3"/>
  <c r="BA16" i="3"/>
  <c r="AX20" i="3"/>
  <c r="BA20" i="3"/>
  <c r="BJ20" i="3"/>
  <c r="AY20" i="3"/>
  <c r="BA80" i="3"/>
  <c r="AX80" i="3"/>
  <c r="BA95" i="3"/>
  <c r="AY95" i="3"/>
  <c r="BR36" i="3"/>
  <c r="BA74" i="3"/>
  <c r="AY74" i="3"/>
  <c r="BA114" i="3"/>
  <c r="AY114" i="3"/>
  <c r="BB178" i="3"/>
  <c r="R89" i="8"/>
  <c r="R60" i="8"/>
  <c r="R49" i="8"/>
  <c r="V160" i="5"/>
  <c r="V124" i="5"/>
  <c r="V111" i="5"/>
  <c r="V64" i="5"/>
  <c r="R162" i="8"/>
  <c r="BR66" i="3"/>
  <c r="BR63" i="3"/>
  <c r="BR40" i="3"/>
  <c r="BR32" i="3"/>
  <c r="BR8" i="3"/>
  <c r="AB13" i="6"/>
  <c r="BJ33" i="3"/>
  <c r="BJ114" i="3"/>
  <c r="BJ110" i="3"/>
  <c r="BJ74" i="3"/>
  <c r="BR169" i="3"/>
  <c r="BR127" i="3"/>
  <c r="BR123" i="3"/>
  <c r="BR116" i="3"/>
  <c r="BR113" i="3"/>
  <c r="BR109" i="3"/>
  <c r="BR105" i="3"/>
  <c r="BR59" i="3"/>
  <c r="BR56" i="3"/>
  <c r="BR21" i="3"/>
  <c r="BR18" i="3"/>
  <c r="AX22" i="3"/>
  <c r="AY110" i="3"/>
  <c r="AX41" i="3"/>
  <c r="BA22" i="3"/>
  <c r="BA38" i="3"/>
  <c r="AX38" i="3"/>
  <c r="AX83" i="3"/>
  <c r="BA83" i="3"/>
  <c r="BA122" i="3"/>
  <c r="AX122" i="3"/>
  <c r="BA172" i="3"/>
  <c r="AX172" i="3"/>
  <c r="AY147" i="3"/>
  <c r="AX147" i="3"/>
  <c r="V159" i="5"/>
  <c r="V155" i="5"/>
  <c r="V105" i="5"/>
  <c r="R104" i="8"/>
  <c r="V53" i="5"/>
  <c r="R2" i="8"/>
  <c r="R171" i="8"/>
  <c r="R158" i="8"/>
  <c r="R142" i="8"/>
  <c r="R134" i="8"/>
  <c r="R118" i="8"/>
  <c r="R52" i="8"/>
  <c r="R38" i="8"/>
  <c r="R29" i="8"/>
  <c r="R3" i="8"/>
  <c r="V166" i="5"/>
  <c r="V137" i="5"/>
  <c r="V125" i="5"/>
  <c r="V55" i="5"/>
  <c r="V20" i="5"/>
  <c r="H175" i="4"/>
  <c r="P175" i="4" s="1"/>
  <c r="H131" i="4"/>
  <c r="P131" i="4" s="1"/>
  <c r="H123" i="4"/>
  <c r="P123" i="4" s="1"/>
  <c r="H90" i="4"/>
  <c r="P90" i="4" s="1"/>
  <c r="H82" i="4"/>
  <c r="P82" i="4" s="1"/>
  <c r="H134" i="4"/>
  <c r="P134" i="4" s="1"/>
  <c r="H41" i="4"/>
  <c r="P41" i="4" s="1"/>
  <c r="H59" i="4"/>
  <c r="P59" i="4" s="1"/>
  <c r="H146" i="4"/>
  <c r="P146" i="4" s="1"/>
  <c r="X146" i="4"/>
  <c r="H53" i="4"/>
  <c r="P53" i="4" s="1"/>
  <c r="H4" i="4"/>
  <c r="P4" i="4" s="1"/>
  <c r="H96" i="4"/>
  <c r="P96" i="4" s="1"/>
  <c r="X31" i="4"/>
  <c r="H25" i="4"/>
  <c r="P25" i="4" s="1"/>
  <c r="H62" i="4"/>
  <c r="P62" i="4" s="1"/>
  <c r="H86" i="4"/>
  <c r="P86" i="4" s="1"/>
  <c r="X144" i="4"/>
  <c r="X73" i="4"/>
  <c r="AB109" i="4"/>
  <c r="H109" i="4"/>
  <c r="P109" i="4" s="1"/>
  <c r="AY17" i="3"/>
  <c r="AX17" i="3"/>
  <c r="BA17" i="3"/>
  <c r="BJ17" i="3"/>
  <c r="BA24" i="3"/>
  <c r="AX24" i="3"/>
  <c r="AY27" i="3"/>
  <c r="BA27" i="3"/>
  <c r="AX27" i="3"/>
  <c r="AY35" i="3"/>
  <c r="BA35" i="3"/>
  <c r="BA76" i="3"/>
  <c r="AY76" i="3"/>
  <c r="AX76" i="3"/>
  <c r="BA119" i="3"/>
  <c r="AX119" i="3"/>
  <c r="BJ119" i="3"/>
  <c r="BA137" i="3"/>
  <c r="AX137" i="3"/>
  <c r="AY137" i="3"/>
  <c r="BJ137" i="3"/>
  <c r="AY150" i="3"/>
  <c r="AX150" i="3"/>
  <c r="BJ35" i="3"/>
  <c r="BJ31" i="3"/>
  <c r="BJ27" i="3"/>
  <c r="B112" i="6"/>
  <c r="B125" i="6"/>
  <c r="B84" i="6"/>
  <c r="AB16" i="4"/>
  <c r="H16" i="4"/>
  <c r="P16" i="4" s="1"/>
  <c r="AB127" i="4"/>
  <c r="H127" i="4"/>
  <c r="P127" i="4" s="1"/>
  <c r="B117" i="9"/>
  <c r="B17" i="9"/>
  <c r="H153" i="4"/>
  <c r="P153" i="4" s="1"/>
  <c r="BJ171" i="3"/>
  <c r="BJ136" i="3"/>
  <c r="BJ76" i="3"/>
  <c r="BJ72" i="3"/>
  <c r="A169" i="9"/>
  <c r="A169" i="6"/>
  <c r="A116" i="9"/>
  <c r="A116" i="6"/>
  <c r="B106" i="3"/>
  <c r="A104" i="6"/>
  <c r="BR17" i="3"/>
  <c r="X14" i="4"/>
  <c r="X71" i="4"/>
  <c r="AY171" i="3"/>
  <c r="AY119" i="3"/>
  <c r="AY31" i="3"/>
  <c r="AY6" i="3"/>
  <c r="BA6" i="3"/>
  <c r="AX14" i="3"/>
  <c r="BA14" i="3"/>
  <c r="AY21" i="3"/>
  <c r="AX21" i="3"/>
  <c r="AX28" i="3"/>
  <c r="AY28" i="3"/>
  <c r="BA28" i="3"/>
  <c r="AX59" i="3"/>
  <c r="BA59" i="3"/>
  <c r="AY59" i="3"/>
  <c r="BA66" i="3"/>
  <c r="AX66" i="3"/>
  <c r="AY66" i="3"/>
  <c r="AY69" i="3"/>
  <c r="BJ69" i="3"/>
  <c r="AY90" i="3"/>
  <c r="BA90" i="3"/>
  <c r="AY94" i="3"/>
  <c r="AX94" i="3"/>
  <c r="BJ94" i="3"/>
  <c r="BA98" i="3"/>
  <c r="AX98" i="3"/>
  <c r="AY98" i="3"/>
  <c r="BJ98" i="3"/>
  <c r="BA107" i="3"/>
  <c r="AX107" i="3"/>
  <c r="BJ107" i="3"/>
  <c r="AX175" i="3"/>
  <c r="BA175" i="3"/>
  <c r="AY175" i="3"/>
  <c r="AB42" i="4"/>
  <c r="H42" i="4"/>
  <c r="P42" i="4" s="1"/>
  <c r="B4" i="6"/>
  <c r="B42" i="6"/>
  <c r="X68" i="4"/>
  <c r="B8" i="9"/>
  <c r="B24" i="9"/>
  <c r="B41" i="9"/>
  <c r="B61" i="9"/>
  <c r="B105" i="9"/>
  <c r="B74" i="6"/>
  <c r="B74" i="9"/>
  <c r="B132" i="9"/>
  <c r="H116" i="4"/>
  <c r="P116" i="4" s="1"/>
  <c r="H20" i="4"/>
  <c r="P20" i="4" s="1"/>
  <c r="A159" i="9"/>
  <c r="B161" i="3"/>
  <c r="A119" i="9"/>
  <c r="B121" i="3"/>
  <c r="A63" i="9"/>
  <c r="A63" i="6"/>
  <c r="A31" i="6"/>
  <c r="B33" i="3"/>
  <c r="A3" i="6"/>
  <c r="A3" i="9"/>
  <c r="BR137" i="3"/>
  <c r="BR121" i="3"/>
  <c r="BR72" i="3"/>
  <c r="AX39" i="3"/>
  <c r="AY63" i="3"/>
  <c r="AX90" i="3"/>
  <c r="BA45" i="3"/>
  <c r="AX45" i="3"/>
  <c r="AY45" i="3"/>
  <c r="BJ45" i="3"/>
  <c r="BA60" i="3"/>
  <c r="AY60" i="3"/>
  <c r="AX70" i="3"/>
  <c r="AY70" i="3"/>
  <c r="BA88" i="3"/>
  <c r="AX88" i="3"/>
  <c r="AY88" i="3"/>
  <c r="BA91" i="3"/>
  <c r="AX91" i="3"/>
  <c r="AY91" i="3"/>
  <c r="AY158" i="3"/>
  <c r="BA158" i="3"/>
  <c r="BJ158" i="3"/>
  <c r="B148" i="6"/>
  <c r="B171" i="6"/>
  <c r="B92" i="6"/>
  <c r="B56" i="9"/>
  <c r="B106" i="6"/>
  <c r="B106" i="9"/>
  <c r="B135" i="9"/>
  <c r="H169" i="4"/>
  <c r="P169" i="4" s="1"/>
  <c r="H142" i="4"/>
  <c r="P142" i="4" s="1"/>
  <c r="X26" i="4"/>
  <c r="BJ153" i="3"/>
  <c r="BJ133" i="3"/>
  <c r="BJ97" i="3"/>
  <c r="A158" i="6"/>
  <c r="A158" i="9"/>
  <c r="B160" i="3"/>
  <c r="A118" i="9"/>
  <c r="A118" i="6"/>
  <c r="A110" i="6"/>
  <c r="A110" i="9"/>
  <c r="A82" i="9"/>
  <c r="A82" i="6"/>
  <c r="A58" i="6"/>
  <c r="B60" i="3"/>
  <c r="B58" i="9" s="1"/>
  <c r="A50" i="9"/>
  <c r="A50" i="6"/>
  <c r="A26" i="6"/>
  <c r="B28" i="3"/>
  <c r="B26" i="9" s="1"/>
  <c r="A10" i="6"/>
  <c r="A10" i="9"/>
  <c r="BR97" i="3"/>
  <c r="BR86" i="3"/>
  <c r="AF6" i="6"/>
  <c r="AY72" i="3"/>
  <c r="AX60" i="3"/>
  <c r="AX35" i="3"/>
  <c r="AY136" i="3"/>
  <c r="AX127" i="3"/>
  <c r="AX6" i="3"/>
  <c r="AY86" i="3"/>
  <c r="AY32" i="3"/>
  <c r="AY18" i="3"/>
  <c r="AX75" i="3"/>
  <c r="BA75" i="3"/>
  <c r="BA79" i="3"/>
  <c r="AY79" i="3"/>
  <c r="AX79" i="3"/>
  <c r="BA82" i="3"/>
  <c r="AY82" i="3"/>
  <c r="AX82" i="3"/>
  <c r="AY85" i="3"/>
  <c r="BJ85" i="3"/>
  <c r="BA115" i="3"/>
  <c r="AX115" i="3"/>
  <c r="BJ115" i="3"/>
  <c r="BA121" i="3"/>
  <c r="BA123" i="3"/>
  <c r="AX123" i="3"/>
  <c r="AY123" i="3"/>
  <c r="BJ123" i="3"/>
  <c r="AY126" i="3"/>
  <c r="AX126" i="3"/>
  <c r="BA133" i="3"/>
  <c r="AX151" i="3"/>
  <c r="AY151" i="3"/>
  <c r="BA167" i="3"/>
  <c r="AX167" i="3"/>
  <c r="BA132" i="3"/>
  <c r="AY132" i="3"/>
  <c r="BJ132" i="3"/>
  <c r="BA145" i="3"/>
  <c r="AX145" i="3"/>
  <c r="BJ145" i="3"/>
  <c r="BA150" i="3"/>
  <c r="BA156" i="3"/>
  <c r="AY156" i="3"/>
  <c r="AX156" i="3"/>
  <c r="AY168" i="3"/>
  <c r="AX168" i="3"/>
  <c r="BJ168" i="3"/>
  <c r="X76" i="4"/>
  <c r="X141" i="4"/>
  <c r="X24" i="4"/>
  <c r="B62" i="3"/>
  <c r="A80" i="6"/>
  <c r="A48" i="9"/>
  <c r="BR28" i="3"/>
  <c r="AX108" i="3"/>
  <c r="AY170" i="3"/>
  <c r="AX111" i="3"/>
  <c r="AX173" i="3"/>
  <c r="AY48" i="3"/>
  <c r="AX9" i="3"/>
  <c r="AX37" i="3"/>
  <c r="BA37" i="3"/>
  <c r="BA41" i="3"/>
  <c r="BA47" i="3"/>
  <c r="AX47" i="3"/>
  <c r="BA92" i="3"/>
  <c r="AY92" i="3"/>
  <c r="BA99" i="3"/>
  <c r="AX99" i="3"/>
  <c r="BA108" i="3"/>
  <c r="BA155" i="3"/>
  <c r="AX155" i="3"/>
  <c r="BA138" i="3"/>
  <c r="AY138" i="3"/>
  <c r="BR119" i="3"/>
  <c r="BR107" i="3"/>
  <c r="BR42" i="3"/>
  <c r="X124" i="4"/>
  <c r="BA68" i="3"/>
  <c r="AY68" i="3"/>
  <c r="BA78" i="3"/>
  <c r="AX78" i="3"/>
  <c r="BA84" i="3"/>
  <c r="AY84" i="3"/>
  <c r="BA105" i="3"/>
  <c r="AY105" i="3"/>
  <c r="BA161" i="3"/>
  <c r="AX161" i="3"/>
  <c r="BA144" i="3"/>
  <c r="AY144" i="3"/>
  <c r="BA154" i="3"/>
  <c r="AX154" i="3"/>
  <c r="V146" i="5"/>
  <c r="R145" i="8"/>
  <c r="V104" i="5"/>
  <c r="R103" i="8"/>
  <c r="R170" i="8"/>
  <c r="R157" i="8"/>
  <c r="R149" i="8"/>
  <c r="R133" i="8"/>
  <c r="R125" i="8"/>
  <c r="R117" i="8"/>
  <c r="R108" i="8"/>
  <c r="R98" i="8"/>
  <c r="R168" i="8"/>
  <c r="R155" i="8"/>
  <c r="R151" i="8"/>
  <c r="AC32" i="6"/>
  <c r="R62" i="8"/>
  <c r="R169" i="8"/>
  <c r="R120" i="8"/>
  <c r="R111" i="8"/>
  <c r="R97" i="8"/>
  <c r="V7" i="5"/>
  <c r="V144" i="5"/>
  <c r="R115" i="8"/>
  <c r="R105" i="8"/>
  <c r="R96" i="8"/>
  <c r="R64" i="8"/>
  <c r="V42" i="5"/>
  <c r="R161" i="8"/>
  <c r="V147" i="5"/>
  <c r="V143" i="5"/>
  <c r="R126" i="8"/>
  <c r="R100" i="8"/>
  <c r="V93" i="5"/>
  <c r="R82" i="8"/>
  <c r="R68" i="8"/>
  <c r="R57" i="8"/>
  <c r="R46" i="8"/>
  <c r="H21" i="4"/>
  <c r="P21" i="4" s="1"/>
  <c r="H155" i="4"/>
  <c r="P155" i="4" s="1"/>
  <c r="H94" i="4"/>
  <c r="P94" i="4" s="1"/>
  <c r="H152" i="4"/>
  <c r="P152" i="4" s="1"/>
  <c r="H81" i="4"/>
  <c r="P81" i="4" s="1"/>
  <c r="H56" i="4"/>
  <c r="P56" i="4" s="1"/>
  <c r="H166" i="4"/>
  <c r="P166" i="4" s="1"/>
  <c r="H79" i="4"/>
  <c r="P79" i="4" s="1"/>
  <c r="H172" i="4"/>
  <c r="P172" i="4" s="1"/>
  <c r="H87" i="4"/>
  <c r="P87" i="4" s="1"/>
  <c r="H68" i="4"/>
  <c r="P68" i="4" s="1"/>
  <c r="H67" i="4"/>
  <c r="P67" i="4" s="1"/>
  <c r="H100" i="4"/>
  <c r="P100" i="4" s="1"/>
  <c r="H51" i="4"/>
  <c r="P51" i="4" s="1"/>
  <c r="H26" i="4"/>
  <c r="P26" i="4" s="1"/>
  <c r="AB118" i="4"/>
  <c r="B23" i="9"/>
  <c r="B23" i="6"/>
  <c r="B149" i="9"/>
  <c r="B149" i="6"/>
  <c r="B156" i="9"/>
  <c r="B156" i="6"/>
  <c r="B73" i="6"/>
  <c r="B73" i="9"/>
  <c r="B62" i="6"/>
  <c r="B62" i="9"/>
  <c r="A173" i="6"/>
  <c r="B175" i="3"/>
  <c r="A173" i="9"/>
  <c r="A165" i="9"/>
  <c r="A165" i="6"/>
  <c r="B167" i="3"/>
  <c r="A152" i="9"/>
  <c r="B154" i="3"/>
  <c r="A152" i="6"/>
  <c r="B32" i="6"/>
  <c r="B32" i="9"/>
  <c r="B154" i="9"/>
  <c r="B154" i="6"/>
  <c r="AC177" i="5"/>
  <c r="B130" i="6"/>
  <c r="B130" i="9"/>
  <c r="B155" i="6"/>
  <c r="B155" i="9"/>
  <c r="AY10" i="3"/>
  <c r="BA10" i="3"/>
  <c r="BJ10" i="3"/>
  <c r="BR10" i="3"/>
  <c r="AX10" i="3"/>
  <c r="AY146" i="3"/>
  <c r="AX146" i="3"/>
  <c r="BJ146" i="3"/>
  <c r="BA146" i="3"/>
  <c r="B124" i="6"/>
  <c r="B124" i="9"/>
  <c r="BQ178" i="3"/>
  <c r="BR4" i="3"/>
  <c r="AB115" i="4"/>
  <c r="H115" i="4"/>
  <c r="P115" i="4" s="1"/>
  <c r="AB28" i="4"/>
  <c r="H28" i="4"/>
  <c r="P28" i="4" s="1"/>
  <c r="B50" i="6"/>
  <c r="B50" i="9"/>
  <c r="B115" i="9"/>
  <c r="B115" i="6"/>
  <c r="B170" i="3"/>
  <c r="A168" i="6"/>
  <c r="A168" i="9"/>
  <c r="A155" i="9"/>
  <c r="A155" i="6"/>
  <c r="A147" i="6"/>
  <c r="B149" i="3"/>
  <c r="A147" i="9"/>
  <c r="A139" i="9"/>
  <c r="B141" i="3"/>
  <c r="A131" i="9"/>
  <c r="B133" i="3"/>
  <c r="A131" i="6"/>
  <c r="A123" i="9"/>
  <c r="A123" i="6"/>
  <c r="B125" i="3"/>
  <c r="A115" i="6"/>
  <c r="A115" i="9"/>
  <c r="B109" i="3"/>
  <c r="A107" i="6"/>
  <c r="A99" i="9"/>
  <c r="B101" i="3"/>
  <c r="A91" i="9"/>
  <c r="A91" i="6"/>
  <c r="B93" i="3"/>
  <c r="A83" i="6"/>
  <c r="A83" i="9"/>
  <c r="B85" i="3"/>
  <c r="B77" i="3"/>
  <c r="A75" i="9"/>
  <c r="A75" i="6"/>
  <c r="A67" i="9"/>
  <c r="A67" i="6"/>
  <c r="B69" i="3"/>
  <c r="A59" i="9"/>
  <c r="A59" i="6"/>
  <c r="A51" i="6"/>
  <c r="A51" i="9"/>
  <c r="B53" i="3"/>
  <c r="B45" i="3"/>
  <c r="A43" i="9"/>
  <c r="A35" i="9"/>
  <c r="A35" i="6"/>
  <c r="B29" i="3"/>
  <c r="A27" i="6"/>
  <c r="A27" i="9"/>
  <c r="A19" i="6"/>
  <c r="B21" i="3"/>
  <c r="A19" i="9"/>
  <c r="B13" i="3"/>
  <c r="A11" i="6"/>
  <c r="A11" i="9"/>
  <c r="AB57" i="4"/>
  <c r="H57" i="4"/>
  <c r="P57" i="4" s="1"/>
  <c r="B3" i="9"/>
  <c r="B3" i="6"/>
  <c r="B145" i="6"/>
  <c r="B35" i="6"/>
  <c r="B59" i="9"/>
  <c r="B59" i="6"/>
  <c r="B5" i="6"/>
  <c r="B5" i="9"/>
  <c r="B34" i="6"/>
  <c r="AB171" i="4"/>
  <c r="H171" i="4"/>
  <c r="P171" i="4" s="1"/>
  <c r="AB102" i="4"/>
  <c r="H102" i="4"/>
  <c r="P102" i="4" s="1"/>
  <c r="B77" i="9"/>
  <c r="B77" i="6"/>
  <c r="B138" i="9"/>
  <c r="B138" i="6"/>
  <c r="B66" i="6"/>
  <c r="B66" i="9"/>
  <c r="A122" i="9"/>
  <c r="B9" i="9"/>
  <c r="B9" i="6"/>
  <c r="BR93" i="3"/>
  <c r="AY125" i="3"/>
  <c r="AX125" i="3"/>
  <c r="BJ125" i="3"/>
  <c r="BA125" i="3"/>
  <c r="E85" i="9"/>
  <c r="E54" i="9"/>
  <c r="H168" i="4"/>
  <c r="P168" i="4" s="1"/>
  <c r="X168" i="4"/>
  <c r="B109" i="9"/>
  <c r="B109" i="6"/>
  <c r="AB3" i="4"/>
  <c r="H3" i="4"/>
  <c r="P3" i="4" s="1"/>
  <c r="AB136" i="4"/>
  <c r="H136" i="4"/>
  <c r="P136" i="4" s="1"/>
  <c r="AY93" i="3"/>
  <c r="BJ93" i="3"/>
  <c r="AX93" i="3"/>
  <c r="BA93" i="3"/>
  <c r="E136" i="6"/>
  <c r="E122" i="9"/>
  <c r="E115" i="6"/>
  <c r="B141" i="6"/>
  <c r="B141" i="9"/>
  <c r="AY49" i="3"/>
  <c r="BR49" i="3"/>
  <c r="BA49" i="3"/>
  <c r="BA56" i="3"/>
  <c r="AY56" i="3"/>
  <c r="AX56" i="3"/>
  <c r="F142" i="6"/>
  <c r="M142" i="6" s="1"/>
  <c r="B10" i="6"/>
  <c r="B13" i="9"/>
  <c r="B6" i="9"/>
  <c r="B38" i="9"/>
  <c r="AB125" i="4"/>
  <c r="H125" i="4"/>
  <c r="P125" i="4" s="1"/>
  <c r="B113" i="9"/>
  <c r="B113" i="6"/>
  <c r="A90" i="9"/>
  <c r="AX49" i="3"/>
  <c r="AY43" i="3"/>
  <c r="BA43" i="3"/>
  <c r="BJ43" i="3"/>
  <c r="AX43" i="3"/>
  <c r="E30" i="9"/>
  <c r="B45" i="9"/>
  <c r="B45" i="6"/>
  <c r="BR146" i="3"/>
  <c r="AY23" i="3"/>
  <c r="BA23" i="3"/>
  <c r="AX23" i="3"/>
  <c r="AX30" i="3"/>
  <c r="BJ30" i="3"/>
  <c r="AY30" i="3"/>
  <c r="BA30" i="3"/>
  <c r="BR30" i="3"/>
  <c r="AX135" i="3"/>
  <c r="BR135" i="3"/>
  <c r="BJ135" i="3"/>
  <c r="BA135" i="3"/>
  <c r="AY135" i="3"/>
  <c r="G24" i="8"/>
  <c r="I24" i="8" s="1"/>
  <c r="AA23" i="6"/>
  <c r="E146" i="6"/>
  <c r="U146" i="6" s="1"/>
  <c r="V120" i="5"/>
  <c r="R119" i="8"/>
  <c r="E103" i="9"/>
  <c r="B29" i="6"/>
  <c r="B81" i="6"/>
  <c r="AB69" i="4"/>
  <c r="H69" i="4"/>
  <c r="P69" i="4" s="1"/>
  <c r="AB154" i="4"/>
  <c r="H154" i="4"/>
  <c r="P154" i="4" s="1"/>
  <c r="AB8" i="4"/>
  <c r="H8" i="4"/>
  <c r="P8" i="4" s="1"/>
  <c r="B98" i="6"/>
  <c r="B98" i="9"/>
  <c r="B133" i="9"/>
  <c r="B133" i="6"/>
  <c r="B4" i="3"/>
  <c r="A2" i="9"/>
  <c r="B169" i="3"/>
  <c r="A167" i="9"/>
  <c r="A146" i="9"/>
  <c r="B148" i="3"/>
  <c r="A130" i="6"/>
  <c r="A130" i="9"/>
  <c r="A106" i="9"/>
  <c r="A106" i="6"/>
  <c r="A98" i="6"/>
  <c r="A98" i="9"/>
  <c r="A74" i="9"/>
  <c r="A74" i="6"/>
  <c r="A66" i="6"/>
  <c r="A66" i="9"/>
  <c r="D4" i="5"/>
  <c r="M4" i="5" s="1"/>
  <c r="E5" i="5"/>
  <c r="N5" i="5" s="1"/>
  <c r="D11" i="5"/>
  <c r="M11" i="5" s="1"/>
  <c r="D12" i="5"/>
  <c r="M12" i="5" s="1"/>
  <c r="D13" i="5"/>
  <c r="M13" i="5" s="1"/>
  <c r="E14" i="5"/>
  <c r="N14" i="5" s="1"/>
  <c r="E23" i="5"/>
  <c r="N23" i="5" s="1"/>
  <c r="F29" i="5"/>
  <c r="O29" i="5" s="1"/>
  <c r="D36" i="5"/>
  <c r="M36" i="5" s="1"/>
  <c r="F4" i="5"/>
  <c r="D8" i="5"/>
  <c r="M8" i="5" s="1"/>
  <c r="E9" i="5"/>
  <c r="N9" i="5" s="1"/>
  <c r="E10" i="5"/>
  <c r="N10" i="5" s="1"/>
  <c r="E11" i="5"/>
  <c r="N11" i="5" s="1"/>
  <c r="E12" i="5"/>
  <c r="N12" i="5" s="1"/>
  <c r="E13" i="5"/>
  <c r="N13" i="5" s="1"/>
  <c r="D18" i="5"/>
  <c r="M18" i="5" s="1"/>
  <c r="D19" i="5"/>
  <c r="M19" i="5" s="1"/>
  <c r="D21" i="5"/>
  <c r="M21" i="5" s="1"/>
  <c r="D28" i="5"/>
  <c r="M28" i="5" s="1"/>
  <c r="D32" i="5"/>
  <c r="M32" i="5" s="1"/>
  <c r="D33" i="5"/>
  <c r="M33" i="5" s="1"/>
  <c r="D7" i="5"/>
  <c r="M7" i="5" s="1"/>
  <c r="E8" i="5"/>
  <c r="N8" i="5" s="1"/>
  <c r="F10" i="5"/>
  <c r="O10" i="5" s="1"/>
  <c r="F12" i="5"/>
  <c r="O12" i="5" s="1"/>
  <c r="F13" i="5"/>
  <c r="O13" i="5" s="1"/>
  <c r="D17" i="5"/>
  <c r="M17" i="5" s="1"/>
  <c r="E18" i="5"/>
  <c r="N18" i="5" s="1"/>
  <c r="E19" i="5"/>
  <c r="N19" i="5" s="1"/>
  <c r="E20" i="5"/>
  <c r="N20" i="5" s="1"/>
  <c r="E22" i="5"/>
  <c r="N22" i="5" s="1"/>
  <c r="D26" i="5"/>
  <c r="M26" i="5" s="1"/>
  <c r="D27" i="5"/>
  <c r="M27" i="5" s="1"/>
  <c r="E33" i="5"/>
  <c r="N33" i="5" s="1"/>
  <c r="E38" i="5"/>
  <c r="N38" i="5" s="1"/>
  <c r="F39" i="5"/>
  <c r="O39" i="5" s="1"/>
  <c r="D5" i="5"/>
  <c r="M5" i="5" s="1"/>
  <c r="E6" i="5"/>
  <c r="N6" i="5" s="1"/>
  <c r="E15" i="5"/>
  <c r="N15" i="5" s="1"/>
  <c r="F16" i="5"/>
  <c r="O16" i="5" s="1"/>
  <c r="E24" i="5"/>
  <c r="N24" i="5" s="1"/>
  <c r="F25" i="5"/>
  <c r="O25" i="5" s="1"/>
  <c r="F26" i="5"/>
  <c r="O26" i="5" s="1"/>
  <c r="F27" i="5"/>
  <c r="O27" i="5" s="1"/>
  <c r="F28" i="5"/>
  <c r="O28" i="5" s="1"/>
  <c r="E30" i="5"/>
  <c r="N30" i="5" s="1"/>
  <c r="F31" i="5"/>
  <c r="O31" i="5" s="1"/>
  <c r="D41" i="5"/>
  <c r="M41" i="5" s="1"/>
  <c r="E42" i="5"/>
  <c r="N42" i="5" s="1"/>
  <c r="F17" i="5"/>
  <c r="O17" i="5" s="1"/>
  <c r="D22" i="5"/>
  <c r="M22" i="5" s="1"/>
  <c r="D23" i="5"/>
  <c r="M23" i="5" s="1"/>
  <c r="D10" i="5"/>
  <c r="M10" i="5" s="1"/>
  <c r="F18" i="5"/>
  <c r="O18" i="5" s="1"/>
  <c r="F22" i="5"/>
  <c r="O22" i="5" s="1"/>
  <c r="F23" i="5"/>
  <c r="O23" i="5" s="1"/>
  <c r="D24" i="5"/>
  <c r="M24" i="5" s="1"/>
  <c r="D25" i="5"/>
  <c r="M25" i="5" s="1"/>
  <c r="D29" i="5"/>
  <c r="M29" i="5" s="1"/>
  <c r="D30" i="5"/>
  <c r="M30" i="5" s="1"/>
  <c r="E4" i="5"/>
  <c r="N4" i="5" s="1"/>
  <c r="F5" i="5"/>
  <c r="O5" i="5" s="1"/>
  <c r="D6" i="5"/>
  <c r="M6" i="5" s="1"/>
  <c r="F11" i="5"/>
  <c r="O11" i="5" s="1"/>
  <c r="F19" i="5"/>
  <c r="O19" i="5" s="1"/>
  <c r="F24" i="5"/>
  <c r="O24" i="5" s="1"/>
  <c r="E25" i="5"/>
  <c r="N25" i="5" s="1"/>
  <c r="E29" i="5"/>
  <c r="N29" i="5" s="1"/>
  <c r="D31" i="5"/>
  <c r="M31" i="5" s="1"/>
  <c r="D35" i="5"/>
  <c r="M35" i="5" s="1"/>
  <c r="E37" i="5"/>
  <c r="N37" i="5" s="1"/>
  <c r="D39" i="5"/>
  <c r="M39" i="5" s="1"/>
  <c r="E41" i="5"/>
  <c r="N41" i="5" s="1"/>
  <c r="D49" i="5"/>
  <c r="M49" i="5" s="1"/>
  <c r="E50" i="5"/>
  <c r="N50" i="5" s="1"/>
  <c r="E51" i="5"/>
  <c r="N51" i="5" s="1"/>
  <c r="E52" i="5"/>
  <c r="N52" i="5" s="1"/>
  <c r="D53" i="5"/>
  <c r="M53" i="5" s="1"/>
  <c r="F6" i="5"/>
  <c r="O6" i="5" s="1"/>
  <c r="E7" i="5"/>
  <c r="N7" i="5" s="1"/>
  <c r="F7" i="5"/>
  <c r="O7" i="5" s="1"/>
  <c r="F8" i="5"/>
  <c r="O8" i="5" s="1"/>
  <c r="D14" i="5"/>
  <c r="M14" i="5" s="1"/>
  <c r="F32" i="5"/>
  <c r="O32" i="5" s="1"/>
  <c r="F33" i="5"/>
  <c r="O33" i="5" s="1"/>
  <c r="F35" i="5"/>
  <c r="O35" i="5" s="1"/>
  <c r="D43" i="5"/>
  <c r="M43" i="5" s="1"/>
  <c r="E48" i="5"/>
  <c r="N48" i="5" s="1"/>
  <c r="F49" i="5"/>
  <c r="O49" i="5" s="1"/>
  <c r="F50" i="5"/>
  <c r="O50" i="5" s="1"/>
  <c r="F51" i="5"/>
  <c r="O51" i="5" s="1"/>
  <c r="F52" i="5"/>
  <c r="O52" i="5" s="1"/>
  <c r="E53" i="5"/>
  <c r="N53" i="5" s="1"/>
  <c r="F54" i="5"/>
  <c r="O54" i="5" s="1"/>
  <c r="D68" i="5"/>
  <c r="M68" i="5" s="1"/>
  <c r="D72" i="5"/>
  <c r="M72" i="5" s="1"/>
  <c r="D9" i="5"/>
  <c r="M9" i="5" s="1"/>
  <c r="F15" i="5"/>
  <c r="O15" i="5" s="1"/>
  <c r="E16" i="5"/>
  <c r="N16" i="5" s="1"/>
  <c r="E21" i="5"/>
  <c r="N21" i="5" s="1"/>
  <c r="E28" i="5"/>
  <c r="N28" i="5" s="1"/>
  <c r="D34" i="5"/>
  <c r="M34" i="5" s="1"/>
  <c r="F36" i="5"/>
  <c r="O36" i="5" s="1"/>
  <c r="E40" i="5"/>
  <c r="N40" i="5" s="1"/>
  <c r="D42" i="5"/>
  <c r="M42" i="5" s="1"/>
  <c r="D45" i="5"/>
  <c r="M45" i="5" s="1"/>
  <c r="E47" i="5"/>
  <c r="N47" i="5" s="1"/>
  <c r="F9" i="5"/>
  <c r="O9" i="5" s="1"/>
  <c r="E17" i="5"/>
  <c r="N17" i="5" s="1"/>
  <c r="F21" i="5"/>
  <c r="O21" i="5" s="1"/>
  <c r="E34" i="5"/>
  <c r="N34" i="5" s="1"/>
  <c r="F38" i="5"/>
  <c r="O38" i="5" s="1"/>
  <c r="F40" i="5"/>
  <c r="O40" i="5" s="1"/>
  <c r="F43" i="5"/>
  <c r="O43" i="5" s="1"/>
  <c r="F44" i="5"/>
  <c r="O44" i="5" s="1"/>
  <c r="E46" i="5"/>
  <c r="N46" i="5" s="1"/>
  <c r="F47" i="5"/>
  <c r="O47" i="5" s="1"/>
  <c r="D56" i="5"/>
  <c r="M56" i="5" s="1"/>
  <c r="D57" i="5"/>
  <c r="M57" i="5" s="1"/>
  <c r="E58" i="5"/>
  <c r="N58" i="5" s="1"/>
  <c r="E59" i="5"/>
  <c r="N59" i="5" s="1"/>
  <c r="E60" i="5"/>
  <c r="N60" i="5" s="1"/>
  <c r="D62" i="5"/>
  <c r="M62" i="5" s="1"/>
  <c r="E65" i="5"/>
  <c r="N65" i="5" s="1"/>
  <c r="E70" i="5"/>
  <c r="N70" i="5" s="1"/>
  <c r="F71" i="5"/>
  <c r="O71" i="5" s="1"/>
  <c r="F45" i="5"/>
  <c r="O45" i="5" s="1"/>
  <c r="E31" i="5"/>
  <c r="N31" i="5" s="1"/>
  <c r="D46" i="5"/>
  <c r="M46" i="5" s="1"/>
  <c r="D51" i="5"/>
  <c r="M51" i="5" s="1"/>
  <c r="D52" i="5"/>
  <c r="M52" i="5" s="1"/>
  <c r="E55" i="5"/>
  <c r="N55" i="5" s="1"/>
  <c r="E57" i="5"/>
  <c r="N57" i="5" s="1"/>
  <c r="F60" i="5"/>
  <c r="O60" i="5" s="1"/>
  <c r="F63" i="5"/>
  <c r="O63" i="5" s="1"/>
  <c r="F65" i="5"/>
  <c r="O65" i="5" s="1"/>
  <c r="D67" i="5"/>
  <c r="M67" i="5" s="1"/>
  <c r="F72" i="5"/>
  <c r="O72" i="5" s="1"/>
  <c r="D80" i="5"/>
  <c r="M80" i="5" s="1"/>
  <c r="D84" i="5"/>
  <c r="M84" i="5" s="1"/>
  <c r="D87" i="5"/>
  <c r="M87" i="5" s="1"/>
  <c r="F89" i="5"/>
  <c r="O89" i="5" s="1"/>
  <c r="E94" i="5"/>
  <c r="N94" i="5" s="1"/>
  <c r="D15" i="5"/>
  <c r="M15" i="5" s="1"/>
  <c r="E27" i="5"/>
  <c r="N27" i="5" s="1"/>
  <c r="F46" i="5"/>
  <c r="O46" i="5" s="1"/>
  <c r="F55" i="5"/>
  <c r="O55" i="5" s="1"/>
  <c r="F57" i="5"/>
  <c r="O57" i="5" s="1"/>
  <c r="D59" i="5"/>
  <c r="M59" i="5" s="1"/>
  <c r="E67" i="5"/>
  <c r="N67" i="5" s="1"/>
  <c r="D69" i="5"/>
  <c r="M69" i="5" s="1"/>
  <c r="D82" i="5"/>
  <c r="M82" i="5" s="1"/>
  <c r="D83" i="5"/>
  <c r="M83" i="5" s="1"/>
  <c r="D86" i="5"/>
  <c r="M86" i="5" s="1"/>
  <c r="E87" i="5"/>
  <c r="N87" i="5" s="1"/>
  <c r="F88" i="5"/>
  <c r="O88" i="5" s="1"/>
  <c r="F90" i="5"/>
  <c r="O90" i="5" s="1"/>
  <c r="F91" i="5"/>
  <c r="O91" i="5" s="1"/>
  <c r="F92" i="5"/>
  <c r="O92" i="5" s="1"/>
  <c r="E93" i="5"/>
  <c r="N93" i="5" s="1"/>
  <c r="F94" i="5"/>
  <c r="O94" i="5" s="1"/>
  <c r="D98" i="5"/>
  <c r="M98" i="5" s="1"/>
  <c r="D99" i="5"/>
  <c r="M99" i="5" s="1"/>
  <c r="F103" i="5"/>
  <c r="O103" i="5" s="1"/>
  <c r="E104" i="5"/>
  <c r="N104" i="5" s="1"/>
  <c r="F105" i="5"/>
  <c r="O105" i="5" s="1"/>
  <c r="E62" i="5"/>
  <c r="N62" i="5" s="1"/>
  <c r="D64" i="5"/>
  <c r="M64" i="5" s="1"/>
  <c r="D20" i="5"/>
  <c r="M20" i="5" s="1"/>
  <c r="E26" i="5"/>
  <c r="N26" i="5" s="1"/>
  <c r="F30" i="5"/>
  <c r="O30" i="5" s="1"/>
  <c r="E35" i="5"/>
  <c r="N35" i="5" s="1"/>
  <c r="E36" i="5"/>
  <c r="N36" i="5" s="1"/>
  <c r="D37" i="5"/>
  <c r="M37" i="5" s="1"/>
  <c r="D38" i="5"/>
  <c r="M38" i="5" s="1"/>
  <c r="D40" i="5"/>
  <c r="M40" i="5" s="1"/>
  <c r="E43" i="5"/>
  <c r="N43" i="5" s="1"/>
  <c r="D47" i="5"/>
  <c r="M47" i="5" s="1"/>
  <c r="F59" i="5"/>
  <c r="O59" i="5" s="1"/>
  <c r="E64" i="5"/>
  <c r="N64" i="5" s="1"/>
  <c r="D66" i="5"/>
  <c r="M66" i="5" s="1"/>
  <c r="F69" i="5"/>
  <c r="O69" i="5" s="1"/>
  <c r="E71" i="5"/>
  <c r="N71" i="5" s="1"/>
  <c r="D73" i="5"/>
  <c r="M73" i="5" s="1"/>
  <c r="D74" i="5"/>
  <c r="M74" i="5" s="1"/>
  <c r="D75" i="5"/>
  <c r="M75" i="5" s="1"/>
  <c r="D77" i="5"/>
  <c r="M77" i="5" s="1"/>
  <c r="E79" i="5"/>
  <c r="N79" i="5" s="1"/>
  <c r="F80" i="5"/>
  <c r="O80" i="5" s="1"/>
  <c r="E81" i="5"/>
  <c r="N81" i="5" s="1"/>
  <c r="E86" i="5"/>
  <c r="N86" i="5" s="1"/>
  <c r="D96" i="5"/>
  <c r="M96" i="5" s="1"/>
  <c r="E97" i="5"/>
  <c r="N97" i="5" s="1"/>
  <c r="F101" i="5"/>
  <c r="O101" i="5" s="1"/>
  <c r="F14" i="5"/>
  <c r="O14" i="5" s="1"/>
  <c r="F20" i="5"/>
  <c r="O20" i="5" s="1"/>
  <c r="F37" i="5"/>
  <c r="O37" i="5" s="1"/>
  <c r="F41" i="5"/>
  <c r="O41" i="5" s="1"/>
  <c r="F42" i="5"/>
  <c r="O42" i="5" s="1"/>
  <c r="D44" i="5"/>
  <c r="M44" i="5" s="1"/>
  <c r="D48" i="5"/>
  <c r="M48" i="5" s="1"/>
  <c r="E56" i="5"/>
  <c r="N56" i="5" s="1"/>
  <c r="D58" i="5"/>
  <c r="M58" i="5" s="1"/>
  <c r="F34" i="5"/>
  <c r="O34" i="5" s="1"/>
  <c r="E39" i="5"/>
  <c r="N39" i="5" s="1"/>
  <c r="E44" i="5"/>
  <c r="N44" i="5" s="1"/>
  <c r="F48" i="5"/>
  <c r="O48" i="5" s="1"/>
  <c r="E49" i="5"/>
  <c r="N49" i="5" s="1"/>
  <c r="F53" i="5"/>
  <c r="O53" i="5" s="1"/>
  <c r="D54" i="5"/>
  <c r="M54" i="5" s="1"/>
  <c r="F56" i="5"/>
  <c r="O56" i="5" s="1"/>
  <c r="D60" i="5"/>
  <c r="M60" i="5" s="1"/>
  <c r="D16" i="5"/>
  <c r="M16" i="5" s="1"/>
  <c r="D55" i="5"/>
  <c r="M55" i="5" s="1"/>
  <c r="E61" i="5"/>
  <c r="N61" i="5" s="1"/>
  <c r="F68" i="5"/>
  <c r="O68" i="5" s="1"/>
  <c r="E69" i="5"/>
  <c r="N69" i="5" s="1"/>
  <c r="F73" i="5"/>
  <c r="O73" i="5" s="1"/>
  <c r="F79" i="5"/>
  <c r="O79" i="5" s="1"/>
  <c r="E54" i="5"/>
  <c r="N54" i="5" s="1"/>
  <c r="F61" i="5"/>
  <c r="O61" i="5" s="1"/>
  <c r="D70" i="5"/>
  <c r="M70" i="5" s="1"/>
  <c r="F75" i="5"/>
  <c r="O75" i="5" s="1"/>
  <c r="E77" i="5"/>
  <c r="N77" i="5" s="1"/>
  <c r="F82" i="5"/>
  <c r="O82" i="5" s="1"/>
  <c r="D85" i="5"/>
  <c r="M85" i="5" s="1"/>
  <c r="E88" i="5"/>
  <c r="N88" i="5" s="1"/>
  <c r="E91" i="5"/>
  <c r="N91" i="5" s="1"/>
  <c r="D92" i="5"/>
  <c r="M92" i="5" s="1"/>
  <c r="E95" i="5"/>
  <c r="N95" i="5" s="1"/>
  <c r="F98" i="5"/>
  <c r="O98" i="5" s="1"/>
  <c r="F100" i="5"/>
  <c r="O100" i="5" s="1"/>
  <c r="F102" i="5"/>
  <c r="O102" i="5" s="1"/>
  <c r="F106" i="5"/>
  <c r="O106" i="5" s="1"/>
  <c r="D108" i="5"/>
  <c r="M108" i="5" s="1"/>
  <c r="E109" i="5"/>
  <c r="N109" i="5" s="1"/>
  <c r="F111" i="5"/>
  <c r="O111" i="5" s="1"/>
  <c r="E112" i="5"/>
  <c r="N112" i="5" s="1"/>
  <c r="F113" i="5"/>
  <c r="O113" i="5" s="1"/>
  <c r="D118" i="5"/>
  <c r="M118" i="5" s="1"/>
  <c r="D120" i="5"/>
  <c r="M120" i="5" s="1"/>
  <c r="E121" i="5"/>
  <c r="N121" i="5" s="1"/>
  <c r="F122" i="5"/>
  <c r="O122" i="5" s="1"/>
  <c r="F123" i="5"/>
  <c r="O123" i="5" s="1"/>
  <c r="D131" i="5"/>
  <c r="M131" i="5" s="1"/>
  <c r="D76" i="5"/>
  <c r="M76" i="5" s="1"/>
  <c r="F77" i="5"/>
  <c r="O77" i="5" s="1"/>
  <c r="E80" i="5"/>
  <c r="N80" i="5" s="1"/>
  <c r="E85" i="5"/>
  <c r="N85" i="5" s="1"/>
  <c r="F95" i="5"/>
  <c r="O95" i="5" s="1"/>
  <c r="E96" i="5"/>
  <c r="N96" i="5" s="1"/>
  <c r="F104" i="5"/>
  <c r="O104" i="5" s="1"/>
  <c r="E108" i="5"/>
  <c r="N108" i="5" s="1"/>
  <c r="F110" i="5"/>
  <c r="O110" i="5" s="1"/>
  <c r="F112" i="5"/>
  <c r="O112" i="5" s="1"/>
  <c r="D117" i="5"/>
  <c r="M117" i="5" s="1"/>
  <c r="E118" i="5"/>
  <c r="N118" i="5" s="1"/>
  <c r="E119" i="5"/>
  <c r="N119" i="5" s="1"/>
  <c r="F58" i="5"/>
  <c r="O58" i="5" s="1"/>
  <c r="F70" i="5"/>
  <c r="O70" i="5" s="1"/>
  <c r="D71" i="5"/>
  <c r="M71" i="5" s="1"/>
  <c r="E76" i="5"/>
  <c r="N76" i="5" s="1"/>
  <c r="D78" i="5"/>
  <c r="M78" i="5" s="1"/>
  <c r="E83" i="5"/>
  <c r="N83" i="5" s="1"/>
  <c r="F85" i="5"/>
  <c r="O85" i="5" s="1"/>
  <c r="D89" i="5"/>
  <c r="M89" i="5" s="1"/>
  <c r="E92" i="5"/>
  <c r="N92" i="5" s="1"/>
  <c r="F96" i="5"/>
  <c r="O96" i="5" s="1"/>
  <c r="E99" i="5"/>
  <c r="N99" i="5" s="1"/>
  <c r="D103" i="5"/>
  <c r="M103" i="5" s="1"/>
  <c r="D107" i="5"/>
  <c r="M107" i="5" s="1"/>
  <c r="F108" i="5"/>
  <c r="O108" i="5" s="1"/>
  <c r="F109" i="5"/>
  <c r="O109" i="5" s="1"/>
  <c r="D115" i="5"/>
  <c r="M115" i="5" s="1"/>
  <c r="D116" i="5"/>
  <c r="M116" i="5" s="1"/>
  <c r="E117" i="5"/>
  <c r="N117" i="5" s="1"/>
  <c r="F119" i="5"/>
  <c r="O119" i="5" s="1"/>
  <c r="E120" i="5"/>
  <c r="N120" i="5" s="1"/>
  <c r="F121" i="5"/>
  <c r="O121" i="5" s="1"/>
  <c r="D50" i="5"/>
  <c r="M50" i="5" s="1"/>
  <c r="E66" i="5"/>
  <c r="N66" i="5" s="1"/>
  <c r="E74" i="5"/>
  <c r="N74" i="5" s="1"/>
  <c r="E78" i="5"/>
  <c r="N78" i="5" s="1"/>
  <c r="F83" i="5"/>
  <c r="O83" i="5" s="1"/>
  <c r="E89" i="5"/>
  <c r="N89" i="5" s="1"/>
  <c r="D90" i="5"/>
  <c r="M90" i="5" s="1"/>
  <c r="E45" i="5"/>
  <c r="N45" i="5" s="1"/>
  <c r="D63" i="5"/>
  <c r="M63" i="5" s="1"/>
  <c r="F64" i="5"/>
  <c r="O64" i="5" s="1"/>
  <c r="D65" i="5"/>
  <c r="M65" i="5" s="1"/>
  <c r="F66" i="5"/>
  <c r="O66" i="5" s="1"/>
  <c r="F76" i="5"/>
  <c r="O76" i="5" s="1"/>
  <c r="F78" i="5"/>
  <c r="O78" i="5" s="1"/>
  <c r="D81" i="5"/>
  <c r="M81" i="5" s="1"/>
  <c r="F86" i="5"/>
  <c r="O86" i="5" s="1"/>
  <c r="D93" i="5"/>
  <c r="M93" i="5" s="1"/>
  <c r="D97" i="5"/>
  <c r="M97" i="5" s="1"/>
  <c r="E101" i="5"/>
  <c r="N101" i="5" s="1"/>
  <c r="E103" i="5"/>
  <c r="N103" i="5" s="1"/>
  <c r="E105" i="5"/>
  <c r="N105" i="5" s="1"/>
  <c r="E107" i="5"/>
  <c r="N107" i="5" s="1"/>
  <c r="D114" i="5"/>
  <c r="M114" i="5" s="1"/>
  <c r="E115" i="5"/>
  <c r="N115" i="5" s="1"/>
  <c r="F116" i="5"/>
  <c r="O116" i="5" s="1"/>
  <c r="F117" i="5"/>
  <c r="O117" i="5" s="1"/>
  <c r="D125" i="5"/>
  <c r="M125" i="5" s="1"/>
  <c r="E126" i="5"/>
  <c r="N126" i="5" s="1"/>
  <c r="E127" i="5"/>
  <c r="N127" i="5" s="1"/>
  <c r="E68" i="5"/>
  <c r="N68" i="5" s="1"/>
  <c r="E90" i="5"/>
  <c r="N90" i="5" s="1"/>
  <c r="D91" i="5"/>
  <c r="M91" i="5" s="1"/>
  <c r="F114" i="5"/>
  <c r="O114" i="5" s="1"/>
  <c r="F115" i="5"/>
  <c r="O115" i="5" s="1"/>
  <c r="E116" i="5"/>
  <c r="N116" i="5" s="1"/>
  <c r="D129" i="5"/>
  <c r="M129" i="5" s="1"/>
  <c r="D132" i="5"/>
  <c r="M132" i="5" s="1"/>
  <c r="U132" i="5" s="1"/>
  <c r="E133" i="5"/>
  <c r="N133" i="5" s="1"/>
  <c r="F135" i="5"/>
  <c r="O135" i="5" s="1"/>
  <c r="E136" i="5"/>
  <c r="N136" i="5" s="1"/>
  <c r="F137" i="5"/>
  <c r="O137" i="5" s="1"/>
  <c r="F144" i="5"/>
  <c r="O144" i="5" s="1"/>
  <c r="D154" i="5"/>
  <c r="M154" i="5" s="1"/>
  <c r="E156" i="5"/>
  <c r="N156" i="5" s="1"/>
  <c r="F158" i="5"/>
  <c r="O158" i="5" s="1"/>
  <c r="F160" i="5"/>
  <c r="O160" i="5" s="1"/>
  <c r="E162" i="5"/>
  <c r="N162" i="5" s="1"/>
  <c r="E164" i="5"/>
  <c r="N164" i="5" s="1"/>
  <c r="F67" i="5"/>
  <c r="O67" i="5" s="1"/>
  <c r="F74" i="5"/>
  <c r="O74" i="5" s="1"/>
  <c r="D95" i="5"/>
  <c r="M95" i="5" s="1"/>
  <c r="D110" i="5"/>
  <c r="M110" i="5" s="1"/>
  <c r="F120" i="5"/>
  <c r="O120" i="5" s="1"/>
  <c r="F125" i="5"/>
  <c r="O125" i="5" s="1"/>
  <c r="F127" i="5"/>
  <c r="O127" i="5" s="1"/>
  <c r="E129" i="5"/>
  <c r="N129" i="5" s="1"/>
  <c r="E132" i="5"/>
  <c r="N132" i="5" s="1"/>
  <c r="F134" i="5"/>
  <c r="O134" i="5" s="1"/>
  <c r="F136" i="5"/>
  <c r="O136" i="5" s="1"/>
  <c r="D142" i="5"/>
  <c r="M142" i="5" s="1"/>
  <c r="D151" i="5"/>
  <c r="M151" i="5" s="1"/>
  <c r="D153" i="5"/>
  <c r="M153" i="5" s="1"/>
  <c r="E154" i="5"/>
  <c r="N154" i="5" s="1"/>
  <c r="E155" i="5"/>
  <c r="N155" i="5" s="1"/>
  <c r="F156" i="5"/>
  <c r="O156" i="5" s="1"/>
  <c r="F157" i="5"/>
  <c r="O157" i="5" s="1"/>
  <c r="D163" i="5"/>
  <c r="M163" i="5" s="1"/>
  <c r="F164" i="5"/>
  <c r="O164" i="5" s="1"/>
  <c r="F165" i="5"/>
  <c r="O165" i="5" s="1"/>
  <c r="D170" i="5"/>
  <c r="M170" i="5" s="1"/>
  <c r="D174" i="5"/>
  <c r="M174" i="5" s="1"/>
  <c r="D61" i="5"/>
  <c r="M61" i="5" s="1"/>
  <c r="E84" i="5"/>
  <c r="N84" i="5" s="1"/>
  <c r="D102" i="5"/>
  <c r="M102" i="5" s="1"/>
  <c r="D109" i="5"/>
  <c r="M109" i="5" s="1"/>
  <c r="E110" i="5"/>
  <c r="N110" i="5" s="1"/>
  <c r="D111" i="5"/>
  <c r="M111" i="5" s="1"/>
  <c r="D122" i="5"/>
  <c r="M122" i="5" s="1"/>
  <c r="D123" i="5"/>
  <c r="M123" i="5" s="1"/>
  <c r="F129" i="5"/>
  <c r="O129" i="5" s="1"/>
  <c r="E131" i="5"/>
  <c r="N131" i="5" s="1"/>
  <c r="F132" i="5"/>
  <c r="O132" i="5" s="1"/>
  <c r="F133" i="5"/>
  <c r="O133" i="5" s="1"/>
  <c r="D141" i="5"/>
  <c r="M141" i="5" s="1"/>
  <c r="D150" i="5"/>
  <c r="M150" i="5" s="1"/>
  <c r="D152" i="5"/>
  <c r="M152" i="5" s="1"/>
  <c r="E153" i="5"/>
  <c r="N153" i="5" s="1"/>
  <c r="F154" i="5"/>
  <c r="O154" i="5" s="1"/>
  <c r="F155" i="5"/>
  <c r="O155" i="5" s="1"/>
  <c r="E32" i="5"/>
  <c r="N32" i="5" s="1"/>
  <c r="E73" i="5"/>
  <c r="N73" i="5" s="1"/>
  <c r="F84" i="5"/>
  <c r="O84" i="5" s="1"/>
  <c r="D94" i="5"/>
  <c r="M94" i="5" s="1"/>
  <c r="D101" i="5"/>
  <c r="M101" i="5" s="1"/>
  <c r="E102" i="5"/>
  <c r="N102" i="5" s="1"/>
  <c r="D121" i="5"/>
  <c r="M121" i="5" s="1"/>
  <c r="E122" i="5"/>
  <c r="N122" i="5" s="1"/>
  <c r="E63" i="5"/>
  <c r="N63" i="5" s="1"/>
  <c r="E72" i="5"/>
  <c r="N72" i="5" s="1"/>
  <c r="F93" i="5"/>
  <c r="O93" i="5" s="1"/>
  <c r="F99" i="5"/>
  <c r="O99" i="5" s="1"/>
  <c r="D100" i="5"/>
  <c r="M100" i="5" s="1"/>
  <c r="D105" i="5"/>
  <c r="M105" i="5" s="1"/>
  <c r="E111" i="5"/>
  <c r="N111" i="5" s="1"/>
  <c r="D112" i="5"/>
  <c r="M112" i="5" s="1"/>
  <c r="F118" i="5"/>
  <c r="O118" i="5" s="1"/>
  <c r="E123" i="5"/>
  <c r="N123" i="5" s="1"/>
  <c r="D124" i="5"/>
  <c r="M124" i="5" s="1"/>
  <c r="D126" i="5"/>
  <c r="M126" i="5" s="1"/>
  <c r="D130" i="5"/>
  <c r="M130" i="5" s="1"/>
  <c r="D79" i="5"/>
  <c r="M79" i="5" s="1"/>
  <c r="F97" i="5"/>
  <c r="O97" i="5" s="1"/>
  <c r="E98" i="5"/>
  <c r="N98" i="5" s="1"/>
  <c r="E100" i="5"/>
  <c r="N100" i="5" s="1"/>
  <c r="D104" i="5"/>
  <c r="M104" i="5" s="1"/>
  <c r="D106" i="5"/>
  <c r="M106" i="5" s="1"/>
  <c r="D113" i="5"/>
  <c r="M113" i="5" s="1"/>
  <c r="E124" i="5"/>
  <c r="N124" i="5" s="1"/>
  <c r="D128" i="5"/>
  <c r="M128" i="5" s="1"/>
  <c r="E130" i="5"/>
  <c r="N130" i="5" s="1"/>
  <c r="D135" i="5"/>
  <c r="M135" i="5" s="1"/>
  <c r="D137" i="5"/>
  <c r="M137" i="5" s="1"/>
  <c r="E138" i="5"/>
  <c r="N138" i="5" s="1"/>
  <c r="E139" i="5"/>
  <c r="N139" i="5" s="1"/>
  <c r="F140" i="5"/>
  <c r="O140" i="5" s="1"/>
  <c r="F141" i="5"/>
  <c r="O141" i="5" s="1"/>
  <c r="F142" i="5"/>
  <c r="O142" i="5" s="1"/>
  <c r="E143" i="5"/>
  <c r="N143" i="5" s="1"/>
  <c r="E145" i="5"/>
  <c r="N145" i="5" s="1"/>
  <c r="E146" i="5"/>
  <c r="N146" i="5" s="1"/>
  <c r="E148" i="5"/>
  <c r="N148" i="5" s="1"/>
  <c r="F150" i="5"/>
  <c r="O150" i="5" s="1"/>
  <c r="F152" i="5"/>
  <c r="O152" i="5" s="1"/>
  <c r="D158" i="5"/>
  <c r="M158" i="5" s="1"/>
  <c r="D160" i="5"/>
  <c r="M160" i="5" s="1"/>
  <c r="E161" i="5"/>
  <c r="N161" i="5" s="1"/>
  <c r="F163" i="5"/>
  <c r="O163" i="5" s="1"/>
  <c r="D165" i="5"/>
  <c r="M165" i="5" s="1"/>
  <c r="F166" i="5"/>
  <c r="O166" i="5" s="1"/>
  <c r="F62" i="5"/>
  <c r="O62" i="5" s="1"/>
  <c r="E75" i="5"/>
  <c r="N75" i="5" s="1"/>
  <c r="F81" i="5"/>
  <c r="O81" i="5" s="1"/>
  <c r="F87" i="5"/>
  <c r="O87" i="5" s="1"/>
  <c r="F107" i="5"/>
  <c r="O107" i="5" s="1"/>
  <c r="F131" i="5"/>
  <c r="O131" i="5" s="1"/>
  <c r="D133" i="5"/>
  <c r="M133" i="5" s="1"/>
  <c r="F138" i="5"/>
  <c r="O138" i="5" s="1"/>
  <c r="D139" i="5"/>
  <c r="M139" i="5" s="1"/>
  <c r="F145" i="5"/>
  <c r="O145" i="5" s="1"/>
  <c r="E149" i="5"/>
  <c r="N149" i="5" s="1"/>
  <c r="E150" i="5"/>
  <c r="N150" i="5" s="1"/>
  <c r="D166" i="5"/>
  <c r="M166" i="5" s="1"/>
  <c r="F167" i="5"/>
  <c r="O167" i="5" s="1"/>
  <c r="E170" i="5"/>
  <c r="N170" i="5" s="1"/>
  <c r="F171" i="5"/>
  <c r="O171" i="5" s="1"/>
  <c r="F172" i="5"/>
  <c r="O172" i="5" s="1"/>
  <c r="E3" i="5"/>
  <c r="D88" i="5"/>
  <c r="M88" i="5" s="1"/>
  <c r="E106" i="5"/>
  <c r="N106" i="5" s="1"/>
  <c r="E114" i="5"/>
  <c r="N114" i="5" s="1"/>
  <c r="F130" i="5"/>
  <c r="O130" i="5" s="1"/>
  <c r="F143" i="5"/>
  <c r="O143" i="5" s="1"/>
  <c r="F146" i="5"/>
  <c r="O146" i="5" s="1"/>
  <c r="F149" i="5"/>
  <c r="O149" i="5" s="1"/>
  <c r="D155" i="5"/>
  <c r="M155" i="5" s="1"/>
  <c r="E160" i="5"/>
  <c r="N160" i="5" s="1"/>
  <c r="E166" i="5"/>
  <c r="N166" i="5" s="1"/>
  <c r="D169" i="5"/>
  <c r="M169" i="5" s="1"/>
  <c r="E174" i="5"/>
  <c r="N174" i="5" s="1"/>
  <c r="E175" i="5"/>
  <c r="N175" i="5" s="1"/>
  <c r="E113" i="5"/>
  <c r="N113" i="5" s="1"/>
  <c r="D119" i="5"/>
  <c r="M119" i="5" s="1"/>
  <c r="F139" i="5"/>
  <c r="O139" i="5" s="1"/>
  <c r="D140" i="5"/>
  <c r="M140" i="5" s="1"/>
  <c r="E151" i="5"/>
  <c r="N151" i="5" s="1"/>
  <c r="D156" i="5"/>
  <c r="M156" i="5" s="1"/>
  <c r="D157" i="5"/>
  <c r="M157" i="5" s="1"/>
  <c r="U157" i="5" s="1"/>
  <c r="D161" i="5"/>
  <c r="M161" i="5" s="1"/>
  <c r="E169" i="5"/>
  <c r="N169" i="5" s="1"/>
  <c r="F170" i="5"/>
  <c r="O170" i="5" s="1"/>
  <c r="F174" i="5"/>
  <c r="O174" i="5" s="1"/>
  <c r="F175" i="5"/>
  <c r="O175" i="5" s="1"/>
  <c r="F3" i="5"/>
  <c r="O3" i="5" s="1"/>
  <c r="E140" i="5"/>
  <c r="N140" i="5" s="1"/>
  <c r="E141" i="5"/>
  <c r="N141" i="5" s="1"/>
  <c r="D144" i="5"/>
  <c r="M144" i="5" s="1"/>
  <c r="D147" i="5"/>
  <c r="M147" i="5" s="1"/>
  <c r="F151" i="5"/>
  <c r="O151" i="5" s="1"/>
  <c r="E157" i="5"/>
  <c r="N157" i="5" s="1"/>
  <c r="E158" i="5"/>
  <c r="N158" i="5" s="1"/>
  <c r="D162" i="5"/>
  <c r="M162" i="5" s="1"/>
  <c r="AD162" i="5" s="1"/>
  <c r="AE162" i="5" s="1"/>
  <c r="E163" i="5"/>
  <c r="N163" i="5" s="1"/>
  <c r="D164" i="5"/>
  <c r="M164" i="5" s="1"/>
  <c r="D168" i="5"/>
  <c r="M168" i="5" s="1"/>
  <c r="D173" i="5"/>
  <c r="M173" i="5" s="1"/>
  <c r="E128" i="5"/>
  <c r="N128" i="5" s="1"/>
  <c r="F124" i="5"/>
  <c r="O124" i="5" s="1"/>
  <c r="D127" i="5"/>
  <c r="M127" i="5" s="1"/>
  <c r="F128" i="5"/>
  <c r="O128" i="5" s="1"/>
  <c r="D134" i="5"/>
  <c r="M134" i="5" s="1"/>
  <c r="D145" i="5"/>
  <c r="M145" i="5" s="1"/>
  <c r="D148" i="5"/>
  <c r="M148" i="5" s="1"/>
  <c r="E159" i="5"/>
  <c r="N159" i="5" s="1"/>
  <c r="F173" i="5"/>
  <c r="O173" i="5" s="1"/>
  <c r="F126" i="5"/>
  <c r="O126" i="5" s="1"/>
  <c r="D138" i="5"/>
  <c r="M138" i="5" s="1"/>
  <c r="F159" i="5"/>
  <c r="O159" i="5" s="1"/>
  <c r="D167" i="5"/>
  <c r="M167" i="5" s="1"/>
  <c r="F168" i="5"/>
  <c r="O168" i="5" s="1"/>
  <c r="E134" i="5"/>
  <c r="N134" i="5" s="1"/>
  <c r="E167" i="5"/>
  <c r="N167" i="5" s="1"/>
  <c r="E162" i="9"/>
  <c r="E166" i="6"/>
  <c r="G166" i="6" s="1"/>
  <c r="F171" i="6"/>
  <c r="F173" i="6"/>
  <c r="F161" i="6"/>
  <c r="E125" i="5"/>
  <c r="N125" i="5" s="1"/>
  <c r="E137" i="5"/>
  <c r="N137" i="5" s="1"/>
  <c r="F162" i="5"/>
  <c r="O162" i="5" s="1"/>
  <c r="F162" i="9"/>
  <c r="F166" i="6"/>
  <c r="H166" i="6" s="1"/>
  <c r="E164" i="6"/>
  <c r="J164" i="6" s="1"/>
  <c r="E165" i="9"/>
  <c r="E3" i="6"/>
  <c r="D149" i="5"/>
  <c r="M149" i="5" s="1"/>
  <c r="U149" i="5" s="1"/>
  <c r="D175" i="5"/>
  <c r="M175" i="5" s="1"/>
  <c r="D136" i="5"/>
  <c r="M136" i="5" s="1"/>
  <c r="E147" i="5"/>
  <c r="N147" i="5" s="1"/>
  <c r="F153" i="5"/>
  <c r="O153" i="5" s="1"/>
  <c r="E165" i="5"/>
  <c r="N165" i="5" s="1"/>
  <c r="D3" i="5"/>
  <c r="D146" i="5"/>
  <c r="M146" i="5" s="1"/>
  <c r="F147" i="5"/>
  <c r="O147" i="5" s="1"/>
  <c r="F148" i="5"/>
  <c r="O148" i="5" s="1"/>
  <c r="E152" i="5"/>
  <c r="N152" i="5" s="1"/>
  <c r="F161" i="5"/>
  <c r="O161" i="5" s="1"/>
  <c r="E173" i="5"/>
  <c r="N173" i="5" s="1"/>
  <c r="E160" i="9"/>
  <c r="G160" i="9" s="1"/>
  <c r="H160" i="9" s="1"/>
  <c r="E164" i="9"/>
  <c r="F167" i="6"/>
  <c r="H167" i="6" s="1"/>
  <c r="E170" i="6"/>
  <c r="E162" i="6"/>
  <c r="E82" i="5"/>
  <c r="N82" i="5" s="1"/>
  <c r="E144" i="5"/>
  <c r="N144" i="5" s="1"/>
  <c r="D171" i="5"/>
  <c r="M171" i="5" s="1"/>
  <c r="D172" i="5"/>
  <c r="M172" i="5" s="1"/>
  <c r="F160" i="9"/>
  <c r="F164" i="9"/>
  <c r="E168" i="6"/>
  <c r="E171" i="5"/>
  <c r="N171" i="5" s="1"/>
  <c r="E163" i="9"/>
  <c r="E169" i="6"/>
  <c r="E11" i="9"/>
  <c r="E142" i="5"/>
  <c r="N142" i="5" s="1"/>
  <c r="F163" i="9"/>
  <c r="F169" i="6"/>
  <c r="E173" i="6"/>
  <c r="G173" i="6" s="1"/>
  <c r="F162" i="6"/>
  <c r="E2" i="6"/>
  <c r="E10" i="6"/>
  <c r="E11" i="6"/>
  <c r="E13" i="9"/>
  <c r="E15" i="6"/>
  <c r="E16" i="6"/>
  <c r="E18" i="6"/>
  <c r="E19" i="6"/>
  <c r="E30" i="6"/>
  <c r="E32" i="9"/>
  <c r="E165" i="6"/>
  <c r="G165" i="6" s="1"/>
  <c r="F170" i="6"/>
  <c r="E174" i="6"/>
  <c r="E163" i="6"/>
  <c r="G163" i="6" s="1"/>
  <c r="E4" i="6"/>
  <c r="E6" i="6"/>
  <c r="E176" i="6" s="1"/>
  <c r="E7" i="9"/>
  <c r="E8" i="9"/>
  <c r="E9" i="9"/>
  <c r="E17" i="9"/>
  <c r="E20" i="9"/>
  <c r="E21" i="6"/>
  <c r="E22" i="9"/>
  <c r="E25" i="6"/>
  <c r="E27" i="9"/>
  <c r="E34" i="6"/>
  <c r="E41" i="9"/>
  <c r="E42" i="9"/>
  <c r="E44" i="9"/>
  <c r="E45" i="9"/>
  <c r="E52" i="9"/>
  <c r="E60" i="6"/>
  <c r="E135" i="5"/>
  <c r="N135" i="5" s="1"/>
  <c r="F169" i="5"/>
  <c r="O169" i="5" s="1"/>
  <c r="F165" i="6"/>
  <c r="H165" i="6" s="1"/>
  <c r="F174" i="6"/>
  <c r="F163" i="6"/>
  <c r="H163" i="6" s="1"/>
  <c r="E2" i="9"/>
  <c r="E12" i="6"/>
  <c r="E24" i="6"/>
  <c r="E29" i="6"/>
  <c r="E35" i="9"/>
  <c r="E38" i="9"/>
  <c r="E43" i="9"/>
  <c r="F45" i="9"/>
  <c r="E51" i="9"/>
  <c r="E171" i="6"/>
  <c r="J171" i="6" s="1"/>
  <c r="E160" i="6"/>
  <c r="F164" i="6"/>
  <c r="H164" i="6" s="1"/>
  <c r="E4" i="9"/>
  <c r="E172" i="5"/>
  <c r="N172" i="5" s="1"/>
  <c r="E167" i="6"/>
  <c r="E172" i="6"/>
  <c r="F160" i="6"/>
  <c r="E6" i="9"/>
  <c r="E7" i="6"/>
  <c r="E8" i="6"/>
  <c r="E9" i="6"/>
  <c r="D143" i="5"/>
  <c r="M143" i="5" s="1"/>
  <c r="D159" i="5"/>
  <c r="M159" i="5" s="1"/>
  <c r="E168" i="5"/>
  <c r="N168" i="5" s="1"/>
  <c r="E161" i="9"/>
  <c r="F168" i="6"/>
  <c r="H168" i="6" s="1"/>
  <c r="F172" i="6"/>
  <c r="E161" i="6"/>
  <c r="E5" i="6"/>
  <c r="E5" i="9"/>
  <c r="E13" i="6"/>
  <c r="E14" i="9"/>
  <c r="E15" i="9"/>
  <c r="F161" i="9"/>
  <c r="G161" i="9" s="1"/>
  <c r="H161" i="9" s="1"/>
  <c r="F165" i="9"/>
  <c r="E3" i="9"/>
  <c r="E12" i="9"/>
  <c r="E17" i="6"/>
  <c r="E20" i="6"/>
  <c r="E24" i="9"/>
  <c r="E27" i="6"/>
  <c r="E10" i="9"/>
  <c r="E31" i="6"/>
  <c r="E36" i="9"/>
  <c r="E39" i="6"/>
  <c r="E48" i="6"/>
  <c r="E49" i="9"/>
  <c r="E51" i="6"/>
  <c r="E54" i="6"/>
  <c r="E56" i="6"/>
  <c r="E61" i="6"/>
  <c r="E65" i="6"/>
  <c r="E74" i="9"/>
  <c r="E77" i="9"/>
  <c r="E78" i="9"/>
  <c r="E92" i="9"/>
  <c r="E93" i="9"/>
  <c r="E102" i="9"/>
  <c r="E108" i="6"/>
  <c r="E110" i="6"/>
  <c r="E112" i="6"/>
  <c r="E116" i="9"/>
  <c r="F117" i="9"/>
  <c r="F120" i="6"/>
  <c r="F121" i="9"/>
  <c r="E124" i="6"/>
  <c r="E125" i="6"/>
  <c r="F127" i="9"/>
  <c r="F131" i="6"/>
  <c r="H131" i="6" s="1"/>
  <c r="F132" i="9"/>
  <c r="E134" i="6"/>
  <c r="E136" i="9"/>
  <c r="F137" i="9"/>
  <c r="F138" i="9"/>
  <c r="E140" i="6"/>
  <c r="F142" i="9"/>
  <c r="F146" i="6"/>
  <c r="M146" i="6" s="1"/>
  <c r="F147" i="9"/>
  <c r="E149" i="6"/>
  <c r="T149" i="6" s="1"/>
  <c r="E151" i="9"/>
  <c r="E156" i="9"/>
  <c r="E157" i="9"/>
  <c r="F158" i="9"/>
  <c r="E159" i="9"/>
  <c r="E169" i="9"/>
  <c r="E170" i="9"/>
  <c r="E18" i="9"/>
  <c r="F24" i="6"/>
  <c r="E31" i="9"/>
  <c r="E35" i="6"/>
  <c r="E37" i="9"/>
  <c r="E45" i="6"/>
  <c r="E57" i="9"/>
  <c r="E62" i="9"/>
  <c r="E76" i="9"/>
  <c r="E86" i="6"/>
  <c r="E89" i="6"/>
  <c r="F90" i="6"/>
  <c r="E95" i="6"/>
  <c r="E97" i="9"/>
  <c r="E99" i="6"/>
  <c r="F102" i="9"/>
  <c r="E104" i="6"/>
  <c r="E105" i="9"/>
  <c r="E107" i="6"/>
  <c r="E123" i="6"/>
  <c r="F126" i="6"/>
  <c r="E129" i="6"/>
  <c r="F130" i="6"/>
  <c r="H130" i="6" s="1"/>
  <c r="E131" i="9"/>
  <c r="F135" i="6"/>
  <c r="F136" i="9"/>
  <c r="G136" i="9" s="1"/>
  <c r="H136" i="9" s="1"/>
  <c r="X137" i="5" s="1"/>
  <c r="F141" i="6"/>
  <c r="E144" i="6"/>
  <c r="F145" i="6"/>
  <c r="E146" i="9"/>
  <c r="F150" i="6"/>
  <c r="F151" i="9"/>
  <c r="E153" i="6"/>
  <c r="E154" i="6"/>
  <c r="F155" i="6"/>
  <c r="H155" i="6" s="1"/>
  <c r="F156" i="9"/>
  <c r="G156" i="9" s="1"/>
  <c r="H156" i="9" s="1"/>
  <c r="X157" i="5" s="1"/>
  <c r="F157" i="9"/>
  <c r="F159" i="9"/>
  <c r="F169" i="9"/>
  <c r="F170" i="9"/>
  <c r="E173" i="9"/>
  <c r="E22" i="6"/>
  <c r="E26" i="6"/>
  <c r="E29" i="9"/>
  <c r="E33" i="9"/>
  <c r="E41" i="6"/>
  <c r="E46" i="9"/>
  <c r="E48" i="9"/>
  <c r="E53" i="6"/>
  <c r="E59" i="6"/>
  <c r="E68" i="9"/>
  <c r="E71" i="9"/>
  <c r="E73" i="9"/>
  <c r="E76" i="6"/>
  <c r="E82" i="9"/>
  <c r="E85" i="6"/>
  <c r="E88" i="6"/>
  <c r="E96" i="9"/>
  <c r="E101" i="9"/>
  <c r="F109" i="6"/>
  <c r="E118" i="6"/>
  <c r="F119" i="6"/>
  <c r="H119" i="6" s="1"/>
  <c r="E120" i="9"/>
  <c r="E122" i="6"/>
  <c r="F125" i="6"/>
  <c r="E126" i="9"/>
  <c r="E128" i="6"/>
  <c r="E130" i="9"/>
  <c r="F131" i="9"/>
  <c r="E133" i="6"/>
  <c r="E135" i="9"/>
  <c r="E138" i="6"/>
  <c r="E139" i="6"/>
  <c r="E141" i="9"/>
  <c r="E143" i="6"/>
  <c r="F144" i="6"/>
  <c r="H144" i="6" s="1"/>
  <c r="E145" i="9"/>
  <c r="F146" i="9"/>
  <c r="E148" i="6"/>
  <c r="F149" i="6"/>
  <c r="H149" i="6" s="1"/>
  <c r="E155" i="9"/>
  <c r="E166" i="9"/>
  <c r="F173" i="9"/>
  <c r="E19" i="9"/>
  <c r="F24" i="9"/>
  <c r="G24" i="9" s="1"/>
  <c r="H24" i="9" s="1"/>
  <c r="X25" i="5" s="1"/>
  <c r="E39" i="9"/>
  <c r="E44" i="6"/>
  <c r="E47" i="6"/>
  <c r="E50" i="6"/>
  <c r="E56" i="9"/>
  <c r="E58" i="6"/>
  <c r="E63" i="9"/>
  <c r="E67" i="9"/>
  <c r="E70" i="9"/>
  <c r="E72" i="9"/>
  <c r="E75" i="6"/>
  <c r="E78" i="6"/>
  <c r="E79" i="9"/>
  <c r="E80" i="9"/>
  <c r="E81" i="9"/>
  <c r="E84" i="6"/>
  <c r="E87" i="6"/>
  <c r="E89" i="9"/>
  <c r="E91" i="9"/>
  <c r="E93" i="6"/>
  <c r="E94" i="6"/>
  <c r="E95" i="9"/>
  <c r="E100" i="9"/>
  <c r="E103" i="6"/>
  <c r="E104" i="9"/>
  <c r="E114" i="9"/>
  <c r="E115" i="9"/>
  <c r="E117" i="6"/>
  <c r="F118" i="6"/>
  <c r="E119" i="9"/>
  <c r="F120" i="9"/>
  <c r="F124" i="6"/>
  <c r="E125" i="9"/>
  <c r="F126" i="9"/>
  <c r="F129" i="6"/>
  <c r="H129" i="6" s="1"/>
  <c r="F130" i="9"/>
  <c r="F134" i="6"/>
  <c r="F135" i="9"/>
  <c r="E137" i="6"/>
  <c r="F140" i="6"/>
  <c r="F141" i="9"/>
  <c r="G141" i="9" s="1"/>
  <c r="H141" i="9" s="1"/>
  <c r="X142" i="5" s="1"/>
  <c r="E144" i="9"/>
  <c r="F145" i="9"/>
  <c r="F148" i="6"/>
  <c r="E149" i="9"/>
  <c r="E150" i="9"/>
  <c r="E152" i="6"/>
  <c r="T152" i="6" s="1"/>
  <c r="F154" i="6"/>
  <c r="F155" i="9"/>
  <c r="E157" i="6"/>
  <c r="E158" i="6"/>
  <c r="E159" i="6"/>
  <c r="F166" i="9"/>
  <c r="E171" i="9"/>
  <c r="E21" i="9"/>
  <c r="E23" i="6"/>
  <c r="E26" i="9"/>
  <c r="E28" i="6"/>
  <c r="E32" i="6"/>
  <c r="E38" i="6"/>
  <c r="E43" i="6"/>
  <c r="F45" i="6"/>
  <c r="E61" i="9"/>
  <c r="E63" i="6"/>
  <c r="E65" i="9"/>
  <c r="E66" i="9"/>
  <c r="E69" i="9"/>
  <c r="E77" i="6"/>
  <c r="E79" i="6"/>
  <c r="E90" i="9"/>
  <c r="E98" i="6"/>
  <c r="J98" i="6" s="1"/>
  <c r="E99" i="9"/>
  <c r="E106" i="6"/>
  <c r="E108" i="9"/>
  <c r="E110" i="9"/>
  <c r="E112" i="9"/>
  <c r="E113" i="9"/>
  <c r="E118" i="9"/>
  <c r="F119" i="9"/>
  <c r="G119" i="9" s="1"/>
  <c r="H119" i="9" s="1"/>
  <c r="X120" i="5" s="1"/>
  <c r="F123" i="6"/>
  <c r="F125" i="9"/>
  <c r="E129" i="9"/>
  <c r="E132" i="6"/>
  <c r="G132" i="6" s="1"/>
  <c r="J132" i="6" s="1"/>
  <c r="F133" i="6"/>
  <c r="M133" i="6" s="1"/>
  <c r="E134" i="9"/>
  <c r="F139" i="6"/>
  <c r="H139" i="6" s="1"/>
  <c r="E140" i="9"/>
  <c r="G140" i="9" s="1"/>
  <c r="H140" i="9" s="1"/>
  <c r="X141" i="5" s="1"/>
  <c r="F143" i="6"/>
  <c r="T143" i="6" s="1"/>
  <c r="F144" i="9"/>
  <c r="E147" i="6"/>
  <c r="E148" i="9"/>
  <c r="F149" i="9"/>
  <c r="G149" i="9" s="1"/>
  <c r="H149" i="9" s="1"/>
  <c r="X150" i="5" s="1"/>
  <c r="F150" i="9"/>
  <c r="F153" i="6"/>
  <c r="E154" i="9"/>
  <c r="E167" i="9"/>
  <c r="F171" i="9"/>
  <c r="E174" i="9"/>
  <c r="E14" i="6"/>
  <c r="E25" i="9"/>
  <c r="E33" i="6"/>
  <c r="E40" i="9"/>
  <c r="E42" i="6"/>
  <c r="E55" i="6"/>
  <c r="E58" i="9"/>
  <c r="E62" i="6"/>
  <c r="E64" i="6"/>
  <c r="E66" i="6"/>
  <c r="E67" i="6"/>
  <c r="E68" i="6"/>
  <c r="E70" i="6"/>
  <c r="E73" i="6"/>
  <c r="G73" i="6" s="1"/>
  <c r="E75" i="9"/>
  <c r="E82" i="6"/>
  <c r="E83" i="9"/>
  <c r="E91" i="6"/>
  <c r="F98" i="9"/>
  <c r="E100" i="6"/>
  <c r="F102" i="6"/>
  <c r="M102" i="6" s="1"/>
  <c r="E109" i="6"/>
  <c r="E111" i="6"/>
  <c r="E113" i="6"/>
  <c r="E114" i="6"/>
  <c r="E117" i="9"/>
  <c r="E119" i="6"/>
  <c r="E121" i="9"/>
  <c r="F122" i="9"/>
  <c r="G122" i="9" s="1"/>
  <c r="H122" i="9" s="1"/>
  <c r="X123" i="5" s="1"/>
  <c r="E127" i="9"/>
  <c r="F128" i="9"/>
  <c r="E130" i="6"/>
  <c r="E132" i="9"/>
  <c r="G132" i="9" s="1"/>
  <c r="H132" i="9" s="1"/>
  <c r="X133" i="5" s="1"/>
  <c r="E135" i="6"/>
  <c r="F136" i="6"/>
  <c r="H136" i="6" s="1"/>
  <c r="E137" i="9"/>
  <c r="E138" i="9"/>
  <c r="G138" i="9" s="1"/>
  <c r="H138" i="9" s="1"/>
  <c r="X139" i="5" s="1"/>
  <c r="E141" i="6"/>
  <c r="E142" i="9"/>
  <c r="F143" i="9"/>
  <c r="E147" i="9"/>
  <c r="F151" i="6"/>
  <c r="M151" i="6" s="1"/>
  <c r="F152" i="9"/>
  <c r="F153" i="9"/>
  <c r="E155" i="6"/>
  <c r="F156" i="6"/>
  <c r="E158" i="9"/>
  <c r="F168" i="9"/>
  <c r="F172" i="9"/>
  <c r="G172" i="9" s="1"/>
  <c r="H172" i="9" s="1"/>
  <c r="X173" i="5" s="1"/>
  <c r="E52" i="6"/>
  <c r="E55" i="9"/>
  <c r="E83" i="6"/>
  <c r="E101" i="6"/>
  <c r="E116" i="6"/>
  <c r="G116" i="6" s="1"/>
  <c r="J116" i="6" s="1"/>
  <c r="E120" i="6"/>
  <c r="E123" i="9"/>
  <c r="E133" i="9"/>
  <c r="F139" i="9"/>
  <c r="E150" i="6"/>
  <c r="E153" i="9"/>
  <c r="F167" i="9"/>
  <c r="E36" i="6"/>
  <c r="E59" i="9"/>
  <c r="E74" i="6"/>
  <c r="E97" i="6"/>
  <c r="E105" i="6"/>
  <c r="F123" i="9"/>
  <c r="E127" i="6"/>
  <c r="F133" i="9"/>
  <c r="G133" i="9" s="1"/>
  <c r="H133" i="9" s="1"/>
  <c r="X134" i="5" s="1"/>
  <c r="F137" i="6"/>
  <c r="K137" i="6" s="1"/>
  <c r="E143" i="9"/>
  <c r="F157" i="6"/>
  <c r="E168" i="9"/>
  <c r="G168" i="9" s="1"/>
  <c r="H168" i="9" s="1"/>
  <c r="X164" i="5" s="1"/>
  <c r="E23" i="9"/>
  <c r="E71" i="6"/>
  <c r="E80" i="6"/>
  <c r="E86" i="9"/>
  <c r="E90" i="6"/>
  <c r="E102" i="6"/>
  <c r="E109" i="9"/>
  <c r="E121" i="6"/>
  <c r="F127" i="6"/>
  <c r="E131" i="6"/>
  <c r="F140" i="9"/>
  <c r="F147" i="6"/>
  <c r="T147" i="6" s="1"/>
  <c r="E151" i="6"/>
  <c r="G151" i="6" s="1"/>
  <c r="F154" i="9"/>
  <c r="E172" i="9"/>
  <c r="E28" i="9"/>
  <c r="E37" i="6"/>
  <c r="E40" i="6"/>
  <c r="E49" i="6"/>
  <c r="E53" i="9"/>
  <c r="F90" i="9"/>
  <c r="G90" i="9" s="1"/>
  <c r="H90" i="9" s="1"/>
  <c r="X91" i="5" s="1"/>
  <c r="F98" i="6"/>
  <c r="E106" i="9"/>
  <c r="F109" i="9"/>
  <c r="G109" i="9" s="1"/>
  <c r="H109" i="9" s="1"/>
  <c r="X110" i="5" s="1"/>
  <c r="F117" i="6"/>
  <c r="F121" i="6"/>
  <c r="H121" i="6" s="1"/>
  <c r="E124" i="9"/>
  <c r="F134" i="9"/>
  <c r="F158" i="6"/>
  <c r="E57" i="6"/>
  <c r="E60" i="9"/>
  <c r="E64" i="9"/>
  <c r="E72" i="6"/>
  <c r="E81" i="6"/>
  <c r="E84" i="9"/>
  <c r="E94" i="9"/>
  <c r="E98" i="9"/>
  <c r="F124" i="9"/>
  <c r="F128" i="6"/>
  <c r="F138" i="6"/>
  <c r="E145" i="6"/>
  <c r="F148" i="9"/>
  <c r="F152" i="6"/>
  <c r="E16" i="9"/>
  <c r="E50" i="9"/>
  <c r="E69" i="6"/>
  <c r="E87" i="9"/>
  <c r="E107" i="9"/>
  <c r="F118" i="9"/>
  <c r="G118" i="9" s="1"/>
  <c r="H118" i="9" s="1"/>
  <c r="X119" i="5" s="1"/>
  <c r="F122" i="6"/>
  <c r="H122" i="6" s="1"/>
  <c r="E128" i="9"/>
  <c r="F132" i="6"/>
  <c r="E142" i="6"/>
  <c r="E152" i="9"/>
  <c r="E156" i="6"/>
  <c r="F174" i="9"/>
  <c r="E47" i="9"/>
  <c r="E88" i="9"/>
  <c r="E96" i="6"/>
  <c r="E111" i="9"/>
  <c r="E126" i="6"/>
  <c r="F129" i="9"/>
  <c r="G129" i="9" s="1"/>
  <c r="H129" i="9" s="1"/>
  <c r="X130" i="5" s="1"/>
  <c r="E139" i="9"/>
  <c r="F159" i="6"/>
  <c r="BA4" i="3"/>
  <c r="E178" i="3"/>
  <c r="BJ4" i="3"/>
  <c r="AX4" i="3"/>
  <c r="AY4" i="3"/>
  <c r="AX102" i="3"/>
  <c r="BR102" i="3"/>
  <c r="BA102" i="3"/>
  <c r="AY102" i="3"/>
  <c r="E46" i="6"/>
  <c r="E34" i="9"/>
  <c r="AX36" i="3"/>
  <c r="BA36" i="3"/>
  <c r="AY42" i="3"/>
  <c r="BA42" i="3"/>
  <c r="R150" i="8"/>
  <c r="V117" i="5"/>
  <c r="R116" i="8"/>
  <c r="J29" i="8"/>
  <c r="J37" i="8"/>
  <c r="J41" i="8"/>
  <c r="K41" i="8" s="1"/>
  <c r="O75" i="8" s="1"/>
  <c r="R75" i="8" s="1"/>
  <c r="J24" i="8"/>
  <c r="K24" i="8" s="1"/>
  <c r="J26" i="8"/>
  <c r="J30" i="8"/>
  <c r="J38" i="8"/>
  <c r="K38" i="8" s="1"/>
  <c r="O61" i="8" s="1"/>
  <c r="R61" i="8" s="1"/>
  <c r="J16" i="8"/>
  <c r="J28" i="8"/>
  <c r="K28" i="8" s="1"/>
  <c r="J34" i="8"/>
  <c r="K34" i="8" s="1"/>
  <c r="J42" i="8"/>
  <c r="AX55" i="3"/>
  <c r="AY97" i="3"/>
  <c r="BA5" i="3"/>
  <c r="BA57" i="3"/>
  <c r="BA65" i="3"/>
  <c r="BA69" i="3"/>
  <c r="BA73" i="3"/>
  <c r="BA85" i="3"/>
  <c r="BA94" i="3"/>
  <c r="BA126" i="3"/>
  <c r="BA147" i="3"/>
  <c r="AX29" i="3"/>
  <c r="AX129" i="3"/>
  <c r="BA55" i="3"/>
  <c r="AY61" i="3"/>
  <c r="AX61" i="3"/>
  <c r="AY77" i="3"/>
  <c r="Q5" i="2"/>
  <c r="P6" i="2" s="1"/>
  <c r="P7" i="2" s="1"/>
  <c r="B99" i="3"/>
  <c r="B88" i="3"/>
  <c r="B120" i="3"/>
  <c r="B139" i="3"/>
  <c r="A153" i="6"/>
  <c r="AY37" i="3"/>
  <c r="AY5" i="3"/>
  <c r="AY78" i="3"/>
  <c r="AY62" i="3"/>
  <c r="AY44" i="3"/>
  <c r="AY12" i="3"/>
  <c r="AY129" i="3"/>
  <c r="AX109" i="3"/>
  <c r="AX89" i="3"/>
  <c r="AY50" i="3"/>
  <c r="AX44" i="3"/>
  <c r="AY39" i="3"/>
  <c r="BA39" i="3"/>
  <c r="BA70" i="3"/>
  <c r="BA86" i="3"/>
  <c r="BA109" i="3"/>
  <c r="BA118" i="3"/>
  <c r="R141" i="8"/>
  <c r="R81" i="8"/>
  <c r="J20" i="8"/>
  <c r="K20" i="8" s="1"/>
  <c r="BR29" i="3"/>
  <c r="BI178" i="3"/>
  <c r="AX11" i="3"/>
  <c r="AX18" i="3"/>
  <c r="AX153" i="3"/>
  <c r="AX106" i="3"/>
  <c r="AY152" i="3"/>
  <c r="AX69" i="3"/>
  <c r="BA12" i="3"/>
  <c r="BA11" i="3"/>
  <c r="BA32" i="3"/>
  <c r="BA51" i="3"/>
  <c r="AY7" i="3"/>
  <c r="BA7" i="3"/>
  <c r="AY26" i="3"/>
  <c r="BA26" i="3"/>
  <c r="BA151" i="3"/>
  <c r="BJ167" i="3"/>
  <c r="AY167" i="3"/>
  <c r="B91" i="3"/>
  <c r="B123" i="3"/>
  <c r="B80" i="3"/>
  <c r="B112" i="3"/>
  <c r="B152" i="3"/>
  <c r="B66" i="3"/>
  <c r="B98" i="3"/>
  <c r="B130" i="3"/>
  <c r="A9" i="6"/>
  <c r="A89" i="9"/>
  <c r="BR106" i="3"/>
  <c r="AY153" i="3"/>
  <c r="AY106" i="3"/>
  <c r="AY24" i="3"/>
  <c r="AX152" i="3"/>
  <c r="AX121" i="3"/>
  <c r="AX85" i="3"/>
  <c r="AX12" i="3"/>
  <c r="AY51" i="3"/>
  <c r="AX8" i="3"/>
  <c r="BA8" i="3"/>
  <c r="R109" i="8"/>
  <c r="R90" i="8"/>
  <c r="R80" i="8"/>
  <c r="V72" i="5"/>
  <c r="R71" i="8"/>
  <c r="J25" i="8"/>
  <c r="K25" i="8" s="1"/>
  <c r="J11" i="8"/>
  <c r="A150" i="6"/>
  <c r="A64" i="6"/>
  <c r="A96" i="6"/>
  <c r="A128" i="6"/>
  <c r="H30" i="4"/>
  <c r="P30" i="4" s="1"/>
  <c r="BJ106" i="3"/>
  <c r="BJ42" i="3"/>
  <c r="AX46" i="3"/>
  <c r="AX139" i="3"/>
  <c r="BA129" i="3"/>
  <c r="BA152" i="3"/>
  <c r="R70" i="8"/>
  <c r="R36" i="8"/>
  <c r="Q10" i="5"/>
  <c r="Q11" i="5"/>
  <c r="Q22" i="5"/>
  <c r="Q35" i="5"/>
  <c r="Q7" i="5"/>
  <c r="Q17" i="5"/>
  <c r="Q18" i="5"/>
  <c r="Q27" i="5"/>
  <c r="Q31" i="5"/>
  <c r="Q32" i="5"/>
  <c r="Q6" i="5"/>
  <c r="Q16" i="5"/>
  <c r="Q25" i="5"/>
  <c r="Q26" i="5"/>
  <c r="Q28" i="5"/>
  <c r="Q4" i="5"/>
  <c r="Q40" i="5"/>
  <c r="Q8" i="5"/>
  <c r="Q20" i="5"/>
  <c r="Q15" i="5"/>
  <c r="Q21" i="5"/>
  <c r="Q48" i="5"/>
  <c r="Q9" i="5"/>
  <c r="Q5" i="5"/>
  <c r="Q34" i="5"/>
  <c r="Q42" i="5"/>
  <c r="Q44" i="5"/>
  <c r="Q67" i="5"/>
  <c r="Q68" i="5"/>
  <c r="Q30" i="5"/>
  <c r="Q37" i="5"/>
  <c r="Q13" i="5"/>
  <c r="Q14" i="5"/>
  <c r="Q39" i="5"/>
  <c r="Q41" i="5"/>
  <c r="Q55" i="5"/>
  <c r="Q56" i="5"/>
  <c r="Q61" i="5"/>
  <c r="Q19" i="5"/>
  <c r="Q38" i="5"/>
  <c r="Q43" i="5"/>
  <c r="Q47" i="5"/>
  <c r="Q29" i="5"/>
  <c r="Q33" i="5"/>
  <c r="Q49" i="5"/>
  <c r="Q62" i="5"/>
  <c r="Q64" i="5"/>
  <c r="Q79" i="5"/>
  <c r="Q80" i="5"/>
  <c r="Q83" i="5"/>
  <c r="Q84" i="5"/>
  <c r="Q86" i="5"/>
  <c r="Q54" i="5"/>
  <c r="Q81" i="5"/>
  <c r="Q82" i="5"/>
  <c r="Q85" i="5"/>
  <c r="Q97" i="5"/>
  <c r="Q98" i="5"/>
  <c r="Q12" i="5"/>
  <c r="Q24" i="5"/>
  <c r="Q45" i="5"/>
  <c r="Q50" i="5"/>
  <c r="Q58" i="5"/>
  <c r="Q63" i="5"/>
  <c r="Q74" i="5"/>
  <c r="Q95" i="5"/>
  <c r="Q106" i="5"/>
  <c r="Q23" i="5"/>
  <c r="Q51" i="5"/>
  <c r="Q36" i="5"/>
  <c r="Q46" i="5"/>
  <c r="Q52" i="5"/>
  <c r="Q57" i="5"/>
  <c r="Q76" i="5"/>
  <c r="Q66" i="5"/>
  <c r="Q72" i="5"/>
  <c r="Q78" i="5"/>
  <c r="Q93" i="5"/>
  <c r="Q101" i="5"/>
  <c r="Q103" i="5"/>
  <c r="Q105" i="5"/>
  <c r="Q117" i="5"/>
  <c r="Q60" i="5"/>
  <c r="Q87" i="5"/>
  <c r="Q90" i="5"/>
  <c r="Q107" i="5"/>
  <c r="Q116" i="5"/>
  <c r="Q59" i="5"/>
  <c r="Q94" i="5"/>
  <c r="Q114" i="5"/>
  <c r="Q115" i="5"/>
  <c r="Q69" i="5"/>
  <c r="Q73" i="5"/>
  <c r="Q75" i="5"/>
  <c r="Q91" i="5"/>
  <c r="Q53" i="5"/>
  <c r="Q77" i="5"/>
  <c r="Q88" i="5"/>
  <c r="Q100" i="5"/>
  <c r="Q104" i="5"/>
  <c r="Q113" i="5"/>
  <c r="Q122" i="5"/>
  <c r="Q124" i="5"/>
  <c r="Q112" i="5"/>
  <c r="Q131" i="5"/>
  <c r="Q153" i="5"/>
  <c r="Q163" i="5"/>
  <c r="Q96" i="5"/>
  <c r="Q126" i="5"/>
  <c r="Q130" i="5"/>
  <c r="Q141" i="5"/>
  <c r="Q150" i="5"/>
  <c r="Q151" i="5"/>
  <c r="Q152" i="5"/>
  <c r="Q161" i="5"/>
  <c r="Q169" i="5"/>
  <c r="Q170" i="5"/>
  <c r="Q173" i="5"/>
  <c r="Q119" i="5"/>
  <c r="Q128" i="5"/>
  <c r="Q138" i="5"/>
  <c r="Q140" i="5"/>
  <c r="Q142" i="5"/>
  <c r="Q146" i="5"/>
  <c r="Q149" i="5"/>
  <c r="Q70" i="5"/>
  <c r="Q108" i="5"/>
  <c r="Q120" i="5"/>
  <c r="Q125" i="5"/>
  <c r="Q89" i="5"/>
  <c r="Q102" i="5"/>
  <c r="Q109" i="5"/>
  <c r="Q110" i="5"/>
  <c r="Q127" i="5"/>
  <c r="Q134" i="5"/>
  <c r="Q135" i="5"/>
  <c r="Q136" i="5"/>
  <c r="Q157" i="5"/>
  <c r="Q165" i="5"/>
  <c r="Q65" i="5"/>
  <c r="Q71" i="5"/>
  <c r="Q92" i="5"/>
  <c r="Q99" i="5"/>
  <c r="Q111" i="5"/>
  <c r="Q121" i="5"/>
  <c r="Q137" i="5"/>
  <c r="Q159" i="5"/>
  <c r="Q164" i="5"/>
  <c r="Q123" i="5"/>
  <c r="Q145" i="5"/>
  <c r="Q148" i="5"/>
  <c r="Q168" i="5"/>
  <c r="Q132" i="5"/>
  <c r="Q133" i="5"/>
  <c r="Q160" i="5"/>
  <c r="Q118" i="5"/>
  <c r="Q129" i="5"/>
  <c r="Q156" i="5"/>
  <c r="Q158" i="5"/>
  <c r="Q162" i="5"/>
  <c r="Q166" i="5"/>
  <c r="Q174" i="5"/>
  <c r="Q3" i="5"/>
  <c r="Q143" i="5"/>
  <c r="Q144" i="5"/>
  <c r="Q155" i="5"/>
  <c r="Q171" i="5"/>
  <c r="Q172" i="5"/>
  <c r="Q167" i="5"/>
  <c r="Q154" i="5"/>
  <c r="Q147" i="5"/>
  <c r="Q175" i="5"/>
  <c r="Q139" i="5"/>
  <c r="U119" i="5"/>
  <c r="U127" i="5"/>
  <c r="U135" i="5"/>
  <c r="U159" i="5"/>
  <c r="U164" i="5"/>
  <c r="U130" i="5"/>
  <c r="U138" i="5"/>
  <c r="U146" i="5"/>
  <c r="U154" i="5"/>
  <c r="U174" i="5"/>
  <c r="U125" i="5"/>
  <c r="U134" i="5"/>
  <c r="U142" i="5"/>
  <c r="U158" i="5"/>
  <c r="U161" i="5"/>
  <c r="U129" i="5"/>
  <c r="U137" i="5"/>
  <c r="U153" i="5"/>
  <c r="U162" i="5"/>
  <c r="U131" i="5"/>
  <c r="U124" i="5"/>
  <c r="U128" i="5"/>
  <c r="U139" i="5"/>
  <c r="U147" i="5"/>
  <c r="U140" i="5"/>
  <c r="U123" i="5"/>
  <c r="U152" i="5"/>
  <c r="U175" i="5"/>
  <c r="U120" i="5"/>
  <c r="U156" i="5"/>
  <c r="U160" i="5"/>
  <c r="U172" i="5"/>
  <c r="K30" i="8"/>
  <c r="O47" i="8" s="1"/>
  <c r="CO118" i="3"/>
  <c r="F116" i="6" s="1"/>
  <c r="CO109" i="3"/>
  <c r="F107" i="9" s="1"/>
  <c r="CO94" i="3"/>
  <c r="F92" i="6" s="1"/>
  <c r="CO50" i="3"/>
  <c r="F48" i="9" s="1"/>
  <c r="CO58" i="3"/>
  <c r="F56" i="9" s="1"/>
  <c r="G56" i="9" s="1"/>
  <c r="H56" i="9" s="1"/>
  <c r="X57" i="5" s="1"/>
  <c r="CO66" i="3"/>
  <c r="F64" i="9" s="1"/>
  <c r="CO74" i="3"/>
  <c r="F72" i="6" s="1"/>
  <c r="CO82" i="3"/>
  <c r="F80" i="6" s="1"/>
  <c r="CO90" i="3"/>
  <c r="F88" i="9" s="1"/>
  <c r="G88" i="9" s="1"/>
  <c r="H88" i="9" s="1"/>
  <c r="X89" i="5" s="1"/>
  <c r="CO33" i="3"/>
  <c r="F31" i="6" s="1"/>
  <c r="CO41" i="3"/>
  <c r="F39" i="9" s="1"/>
  <c r="CO24" i="3"/>
  <c r="F22" i="6" s="1"/>
  <c r="CO16" i="3"/>
  <c r="F14" i="9" s="1"/>
  <c r="CO8" i="3"/>
  <c r="F6" i="9" s="1"/>
  <c r="CO117" i="3"/>
  <c r="F115" i="9" s="1"/>
  <c r="CO108" i="3"/>
  <c r="F106" i="9" s="1"/>
  <c r="G106" i="9" s="1"/>
  <c r="H106" i="9" s="1"/>
  <c r="X107" i="5" s="1"/>
  <c r="CO95" i="3"/>
  <c r="F93" i="6" s="1"/>
  <c r="CO51" i="3"/>
  <c r="F49" i="6" s="1"/>
  <c r="CO59" i="3"/>
  <c r="F57" i="6" s="1"/>
  <c r="CO67" i="3"/>
  <c r="F65" i="6" s="1"/>
  <c r="CO75" i="3"/>
  <c r="F73" i="6" s="1"/>
  <c r="CO83" i="3"/>
  <c r="F81" i="9" s="1"/>
  <c r="CO91" i="3"/>
  <c r="F89" i="9" s="1"/>
  <c r="CO34" i="3"/>
  <c r="F32" i="9" s="1"/>
  <c r="CO42" i="3"/>
  <c r="F40" i="9" s="1"/>
  <c r="G40" i="9" s="1"/>
  <c r="H40" i="9" s="1"/>
  <c r="X41" i="5" s="1"/>
  <c r="CO23" i="3"/>
  <c r="F21" i="6" s="1"/>
  <c r="CO15" i="3"/>
  <c r="F13" i="6" s="1"/>
  <c r="CO7" i="3"/>
  <c r="F5" i="9" s="1"/>
  <c r="CO116" i="3"/>
  <c r="F114" i="9" s="1"/>
  <c r="G114" i="9" s="1"/>
  <c r="H114" i="9" s="1"/>
  <c r="X115" i="5" s="1"/>
  <c r="CO107" i="3"/>
  <c r="F105" i="9" s="1"/>
  <c r="G105" i="9" s="1"/>
  <c r="H105" i="9" s="1"/>
  <c r="X106" i="5" s="1"/>
  <c r="CO96" i="3"/>
  <c r="F94" i="6" s="1"/>
  <c r="CO52" i="3"/>
  <c r="F50" i="6" s="1"/>
  <c r="CO60" i="3"/>
  <c r="F58" i="9" s="1"/>
  <c r="G58" i="9" s="1"/>
  <c r="H58" i="9" s="1"/>
  <c r="X59" i="5" s="1"/>
  <c r="CO68" i="3"/>
  <c r="F66" i="6" s="1"/>
  <c r="CO76" i="3"/>
  <c r="F74" i="9" s="1"/>
  <c r="CO84" i="3"/>
  <c r="F82" i="6" s="1"/>
  <c r="CO48" i="3"/>
  <c r="F46" i="9" s="1"/>
  <c r="G46" i="9" s="1"/>
  <c r="H46" i="9" s="1"/>
  <c r="X47" i="5" s="1"/>
  <c r="CO35" i="3"/>
  <c r="F33" i="6" s="1"/>
  <c r="CO43" i="3"/>
  <c r="F41" i="9" s="1"/>
  <c r="CO22" i="3"/>
  <c r="F20" i="6" s="1"/>
  <c r="CO14" i="3"/>
  <c r="F12" i="6" s="1"/>
  <c r="CO6" i="3"/>
  <c r="F4" i="9" s="1"/>
  <c r="G4" i="9" s="1"/>
  <c r="H4" i="9" s="1"/>
  <c r="X5" i="5" s="1"/>
  <c r="CO115" i="3"/>
  <c r="F113" i="6" s="1"/>
  <c r="CO106" i="3"/>
  <c r="F104" i="9" s="1"/>
  <c r="G104" i="9" s="1"/>
  <c r="H104" i="9" s="1"/>
  <c r="X105" i="5" s="1"/>
  <c r="CO97" i="3"/>
  <c r="F95" i="6" s="1"/>
  <c r="CO53" i="3"/>
  <c r="F51" i="6" s="1"/>
  <c r="CO61" i="3"/>
  <c r="F59" i="6" s="1"/>
  <c r="CO69" i="3"/>
  <c r="F67" i="9" s="1"/>
  <c r="CO77" i="3"/>
  <c r="F75" i="9" s="1"/>
  <c r="G75" i="9" s="1"/>
  <c r="H75" i="9" s="1"/>
  <c r="X76" i="5" s="1"/>
  <c r="CO85" i="3"/>
  <c r="F83" i="9" s="1"/>
  <c r="CO28" i="3"/>
  <c r="F26" i="6" s="1"/>
  <c r="CO36" i="3"/>
  <c r="F34" i="9" s="1"/>
  <c r="CO44" i="3"/>
  <c r="F42" i="6" s="1"/>
  <c r="CO21" i="3"/>
  <c r="F19" i="6" s="1"/>
  <c r="CO13" i="3"/>
  <c r="F11" i="6" s="1"/>
  <c r="CO5" i="3"/>
  <c r="F3" i="9" s="1"/>
  <c r="G3" i="9" s="1"/>
  <c r="H3" i="9" s="1"/>
  <c r="X4" i="5" s="1"/>
  <c r="CO114" i="3"/>
  <c r="F112" i="6" s="1"/>
  <c r="CO105" i="3"/>
  <c r="F103" i="6" s="1"/>
  <c r="CO98" i="3"/>
  <c r="F96" i="9" s="1"/>
  <c r="CO54" i="3"/>
  <c r="F52" i="6" s="1"/>
  <c r="CO62" i="3"/>
  <c r="F60" i="6" s="1"/>
  <c r="CO70" i="3"/>
  <c r="F68" i="6" s="1"/>
  <c r="CO78" i="3"/>
  <c r="F76" i="6" s="1"/>
  <c r="CO86" i="3"/>
  <c r="F84" i="6" s="1"/>
  <c r="CO29" i="3"/>
  <c r="F27" i="6" s="1"/>
  <c r="CO37" i="3"/>
  <c r="F35" i="6" s="1"/>
  <c r="CO45" i="3"/>
  <c r="F43" i="6" s="1"/>
  <c r="CO20" i="3"/>
  <c r="F18" i="6" s="1"/>
  <c r="CO12" i="3"/>
  <c r="F10" i="6" s="1"/>
  <c r="CO113" i="3"/>
  <c r="F111" i="6" s="1"/>
  <c r="CO103" i="3"/>
  <c r="F101" i="6" s="1"/>
  <c r="CO99" i="3"/>
  <c r="F97" i="9" s="1"/>
  <c r="G97" i="9" s="1"/>
  <c r="H97" i="9" s="1"/>
  <c r="X98" i="5" s="1"/>
  <c r="CO55" i="3"/>
  <c r="F53" i="9" s="1"/>
  <c r="CO63" i="3"/>
  <c r="F61" i="6" s="1"/>
  <c r="CO71" i="3"/>
  <c r="F69" i="9" s="1"/>
  <c r="CO79" i="3"/>
  <c r="F77" i="6" s="1"/>
  <c r="CO87" i="3"/>
  <c r="F85" i="6" s="1"/>
  <c r="CO30" i="3"/>
  <c r="F28" i="9" s="1"/>
  <c r="CO38" i="3"/>
  <c r="F36" i="9" s="1"/>
  <c r="CO46" i="3"/>
  <c r="F44" i="9" s="1"/>
  <c r="CO19" i="3"/>
  <c r="F17" i="9" s="1"/>
  <c r="G17" i="9" s="1"/>
  <c r="H17" i="9" s="1"/>
  <c r="X18" i="5" s="1"/>
  <c r="CO11" i="3"/>
  <c r="F9" i="9" s="1"/>
  <c r="CO112" i="3"/>
  <c r="F110" i="6" s="1"/>
  <c r="CO102" i="3"/>
  <c r="F100" i="6" s="1"/>
  <c r="CO93" i="3"/>
  <c r="F91" i="6" s="1"/>
  <c r="CO56" i="3"/>
  <c r="F54" i="6" s="1"/>
  <c r="CO64" i="3"/>
  <c r="F62" i="9" s="1"/>
  <c r="CO72" i="3"/>
  <c r="F70" i="9" s="1"/>
  <c r="G70" i="9" s="1"/>
  <c r="H70" i="9" s="1"/>
  <c r="X71" i="5" s="1"/>
  <c r="CO80" i="3"/>
  <c r="F78" i="6" s="1"/>
  <c r="CO88" i="3"/>
  <c r="F86" i="6" s="1"/>
  <c r="CO31" i="3"/>
  <c r="F29" i="9" s="1"/>
  <c r="CO39" i="3"/>
  <c r="F37" i="9" s="1"/>
  <c r="CO27" i="3"/>
  <c r="F25" i="9" s="1"/>
  <c r="G25" i="9" s="1"/>
  <c r="H25" i="9" s="1"/>
  <c r="X26" i="5" s="1"/>
  <c r="CO18" i="3"/>
  <c r="F16" i="6" s="1"/>
  <c r="CO10" i="3"/>
  <c r="F8" i="9" s="1"/>
  <c r="G8" i="9" s="1"/>
  <c r="H8" i="9" s="1"/>
  <c r="X9" i="5" s="1"/>
  <c r="CO4" i="3"/>
  <c r="F2" i="6" s="1"/>
  <c r="CO110" i="3"/>
  <c r="F108" i="6" s="1"/>
  <c r="CO101" i="3"/>
  <c r="F99" i="6" s="1"/>
  <c r="CO49" i="3"/>
  <c r="F47" i="6" s="1"/>
  <c r="CO57" i="3"/>
  <c r="F55" i="9" s="1"/>
  <c r="G55" i="9" s="1"/>
  <c r="H55" i="9" s="1"/>
  <c r="X56" i="5" s="1"/>
  <c r="CO65" i="3"/>
  <c r="F63" i="6" s="1"/>
  <c r="CO73" i="3"/>
  <c r="F71" i="6" s="1"/>
  <c r="CO81" i="3"/>
  <c r="F79" i="6" s="1"/>
  <c r="CO89" i="3"/>
  <c r="F87" i="6" s="1"/>
  <c r="CO32" i="3"/>
  <c r="F30" i="9" s="1"/>
  <c r="G30" i="9" s="1"/>
  <c r="H30" i="9" s="1"/>
  <c r="X31" i="5" s="1"/>
  <c r="CO40" i="3"/>
  <c r="F38" i="6" s="1"/>
  <c r="CO25" i="3"/>
  <c r="F23" i="9" s="1"/>
  <c r="CO17" i="3"/>
  <c r="F15" i="6" s="1"/>
  <c r="CO9" i="3"/>
  <c r="F7" i="6" s="1"/>
  <c r="K26" i="8"/>
  <c r="G8" i="8"/>
  <c r="I8" i="8" s="1"/>
  <c r="J8" i="8" s="1"/>
  <c r="K8" i="8" s="1"/>
  <c r="O13" i="8" s="1"/>
  <c r="G23" i="8"/>
  <c r="I23" i="8" s="1"/>
  <c r="J23" i="8" s="1"/>
  <c r="K23" i="8" s="1"/>
  <c r="K29" i="8"/>
  <c r="K37" i="8"/>
  <c r="K11" i="8"/>
  <c r="O18" i="8" s="1"/>
  <c r="K42" i="8"/>
  <c r="O88" i="8" s="1"/>
  <c r="K16" i="8"/>
  <c r="O27" i="8" s="1"/>
  <c r="V161" i="5"/>
  <c r="R160" i="8"/>
  <c r="V165" i="5"/>
  <c r="R164" i="8"/>
  <c r="V149" i="5"/>
  <c r="R163" i="8"/>
  <c r="V154" i="5"/>
  <c r="V3" i="5"/>
  <c r="V109" i="5"/>
  <c r="V169" i="5"/>
  <c r="V157" i="5"/>
  <c r="V61" i="5"/>
  <c r="E177" i="12"/>
  <c r="D178" i="12" s="1"/>
  <c r="V168" i="5"/>
  <c r="V167" i="5"/>
  <c r="V141" i="5"/>
  <c r="V173" i="5"/>
  <c r="V170" i="5"/>
  <c r="V138" i="5"/>
  <c r="V172" i="5"/>
  <c r="V130" i="5"/>
  <c r="V114" i="5"/>
  <c r="V103" i="5"/>
  <c r="V175" i="5"/>
  <c r="V153" i="5"/>
  <c r="V152" i="5"/>
  <c r="V135" i="5"/>
  <c r="V128" i="5"/>
  <c r="V174" i="5"/>
  <c r="V90" i="5"/>
  <c r="V136" i="5"/>
  <c r="V131" i="5"/>
  <c r="V119" i="5"/>
  <c r="V127" i="5"/>
  <c r="V148" i="5"/>
  <c r="V145" i="5"/>
  <c r="V142" i="5"/>
  <c r="V116" i="5"/>
  <c r="V97" i="5"/>
  <c r="V95" i="5"/>
  <c r="V81" i="5"/>
  <c r="V134" i="5"/>
  <c r="V133" i="5"/>
  <c r="V123" i="5"/>
  <c r="V101" i="5"/>
  <c r="V151" i="5"/>
  <c r="V94" i="5"/>
  <c r="V76" i="5"/>
  <c r="V163" i="5"/>
  <c r="V140" i="5"/>
  <c r="V121" i="5"/>
  <c r="V162" i="5"/>
  <c r="V156" i="5"/>
  <c r="V150" i="5"/>
  <c r="V139" i="5"/>
  <c r="V118" i="5"/>
  <c r="V115" i="5"/>
  <c r="V108" i="5"/>
  <c r="V129" i="5"/>
  <c r="V91" i="5"/>
  <c r="V87" i="5"/>
  <c r="V50" i="5"/>
  <c r="V112" i="5"/>
  <c r="V96" i="5"/>
  <c r="V78" i="5"/>
  <c r="V68" i="5"/>
  <c r="V98" i="5"/>
  <c r="V88" i="5"/>
  <c r="V82" i="5"/>
  <c r="V71" i="5"/>
  <c r="V102" i="5"/>
  <c r="V84" i="5"/>
  <c r="V79" i="5"/>
  <c r="V122" i="5"/>
  <c r="V110" i="5"/>
  <c r="V83" i="5"/>
  <c r="V60" i="5"/>
  <c r="V67" i="5"/>
  <c r="V40" i="5"/>
  <c r="V80" i="5"/>
  <c r="V63" i="5"/>
  <c r="V85" i="5"/>
  <c r="V49" i="5"/>
  <c r="V106" i="5"/>
  <c r="V77" i="5"/>
  <c r="V70" i="5"/>
  <c r="V57" i="5"/>
  <c r="V75" i="5"/>
  <c r="V58" i="5"/>
  <c r="V47" i="5"/>
  <c r="V69" i="5"/>
  <c r="V31" i="5"/>
  <c r="V12" i="5"/>
  <c r="V33" i="5"/>
  <c r="V24" i="5"/>
  <c r="V4" i="5"/>
  <c r="V65" i="5"/>
  <c r="V46" i="5"/>
  <c r="V39" i="5"/>
  <c r="V37" i="5"/>
  <c r="V34" i="5"/>
  <c r="V29" i="5"/>
  <c r="V17" i="5"/>
  <c r="V45" i="5"/>
  <c r="V30" i="5"/>
  <c r="V5" i="5"/>
  <c r="V21" i="5"/>
  <c r="V16" i="5"/>
  <c r="V26" i="5"/>
  <c r="V15" i="5"/>
  <c r="V13" i="5"/>
  <c r="V25" i="5"/>
  <c r="V6" i="5"/>
  <c r="V9" i="5"/>
  <c r="X102" i="4"/>
  <c r="X154" i="4"/>
  <c r="X8" i="4"/>
  <c r="X54" i="4"/>
  <c r="X41" i="4"/>
  <c r="X27" i="4"/>
  <c r="X81" i="4"/>
  <c r="X21" i="4"/>
  <c r="X94" i="4"/>
  <c r="X118" i="4"/>
  <c r="X82" i="4"/>
  <c r="X42" i="4"/>
  <c r="X105" i="4"/>
  <c r="X86" i="4"/>
  <c r="X4" i="4"/>
  <c r="X91" i="4"/>
  <c r="X160" i="4"/>
  <c r="X62" i="4"/>
  <c r="X57" i="4"/>
  <c r="X125" i="4"/>
  <c r="X56" i="4"/>
  <c r="X155" i="4"/>
  <c r="X166" i="4"/>
  <c r="X126" i="4"/>
  <c r="X16" i="4"/>
  <c r="X98" i="4"/>
  <c r="X45" i="4"/>
  <c r="X63" i="4"/>
  <c r="X148" i="4"/>
  <c r="X22" i="4"/>
  <c r="X111" i="4"/>
  <c r="X51" i="4"/>
  <c r="X43" i="4"/>
  <c r="X28" i="4"/>
  <c r="X115" i="4"/>
  <c r="X175" i="4"/>
  <c r="X134" i="4"/>
  <c r="X59" i="4"/>
  <c r="X169" i="4"/>
  <c r="X108" i="4"/>
  <c r="X20" i="4"/>
  <c r="X87" i="4"/>
  <c r="X85" i="4"/>
  <c r="X174" i="4"/>
  <c r="X25" i="4"/>
  <c r="X92" i="4"/>
  <c r="X69" i="4"/>
  <c r="X127" i="4"/>
  <c r="X93" i="4"/>
  <c r="X9" i="4"/>
  <c r="X152" i="4"/>
  <c r="X100" i="4"/>
  <c r="X101" i="4"/>
  <c r="X123" i="4"/>
  <c r="X30" i="4"/>
  <c r="X3" i="4"/>
  <c r="X55" i="4"/>
  <c r="X106" i="4"/>
  <c r="X109" i="4"/>
  <c r="X40" i="4"/>
  <c r="X49" i="4"/>
  <c r="X120" i="4"/>
  <c r="X67" i="4"/>
  <c r="X50" i="4"/>
  <c r="X135" i="4"/>
  <c r="X75" i="4"/>
  <c r="X53" i="4"/>
  <c r="X122" i="4"/>
  <c r="X162" i="4"/>
  <c r="X137" i="4"/>
  <c r="X167" i="4"/>
  <c r="X119" i="4"/>
  <c r="X72" i="4"/>
  <c r="X136" i="4"/>
  <c r="X172" i="4"/>
  <c r="X131" i="4"/>
  <c r="X90" i="4"/>
  <c r="X19" i="4"/>
  <c r="X142" i="4"/>
  <c r="X153" i="4"/>
  <c r="X112" i="4"/>
  <c r="X147" i="4"/>
  <c r="X159" i="4"/>
  <c r="X38" i="4"/>
  <c r="M45" i="6"/>
  <c r="G98" i="9"/>
  <c r="H98" i="9" s="1"/>
  <c r="X99" i="5" s="1"/>
  <c r="M98" i="6"/>
  <c r="M164" i="6"/>
  <c r="R164" i="6" s="1"/>
  <c r="K136" i="6"/>
  <c r="M122" i="6"/>
  <c r="R122" i="6" s="1"/>
  <c r="H141" i="6"/>
  <c r="K141" i="6" s="1"/>
  <c r="O141" i="6" s="1"/>
  <c r="U143" i="6"/>
  <c r="T148" i="6"/>
  <c r="T136" i="6"/>
  <c r="M173" i="6"/>
  <c r="K164" i="6"/>
  <c r="K122" i="6"/>
  <c r="O122" i="6" s="1"/>
  <c r="U140" i="6"/>
  <c r="G169" i="9"/>
  <c r="H169" i="9" s="1"/>
  <c r="X165" i="5" s="1"/>
  <c r="G159" i="9"/>
  <c r="H159" i="9" s="1"/>
  <c r="X160" i="5" s="1"/>
  <c r="G150" i="9"/>
  <c r="H150" i="9" s="1"/>
  <c r="X151" i="5" s="1"/>
  <c r="H134" i="6"/>
  <c r="U147" i="6"/>
  <c r="G125" i="9"/>
  <c r="H125" i="9" s="1"/>
  <c r="X126" i="5" s="1"/>
  <c r="M121" i="6"/>
  <c r="R121" i="6" s="1"/>
  <c r="H161" i="6"/>
  <c r="G164" i="9"/>
  <c r="H164" i="9" s="1"/>
  <c r="G151" i="9"/>
  <c r="H151" i="9" s="1"/>
  <c r="X152" i="5" s="1"/>
  <c r="T119" i="6"/>
  <c r="G137" i="9"/>
  <c r="H137" i="9" s="1"/>
  <c r="X138" i="5" s="1"/>
  <c r="U119" i="6"/>
  <c r="G154" i="9"/>
  <c r="H154" i="9" s="1"/>
  <c r="X155" i="5" s="1"/>
  <c r="T161" i="6"/>
  <c r="M160" i="6"/>
  <c r="K167" i="6"/>
  <c r="O167" i="6" s="1"/>
  <c r="G166" i="9"/>
  <c r="H166" i="9" s="1"/>
  <c r="H154" i="6"/>
  <c r="M140" i="6"/>
  <c r="M161" i="6"/>
  <c r="H172" i="6"/>
  <c r="K155" i="6"/>
  <c r="O155" i="6" s="1"/>
  <c r="K119" i="6"/>
  <c r="O119" i="6" s="1"/>
  <c r="K168" i="6"/>
  <c r="O168" i="6" s="1"/>
  <c r="K121" i="6"/>
  <c r="O121" i="6" s="1"/>
  <c r="O136" i="6"/>
  <c r="K139" i="6"/>
  <c r="O139" i="6" s="1"/>
  <c r="K131" i="6"/>
  <c r="O131" i="6" s="1"/>
  <c r="K130" i="6"/>
  <c r="O130" i="6" s="1"/>
  <c r="H152" i="6"/>
  <c r="K152" i="6" s="1"/>
  <c r="H146" i="6"/>
  <c r="K146" i="6" s="1"/>
  <c r="H142" i="6"/>
  <c r="H128" i="6"/>
  <c r="K128" i="6" s="1"/>
  <c r="G126" i="9"/>
  <c r="H126" i="9" s="1"/>
  <c r="X127" i="5" s="1"/>
  <c r="H169" i="6"/>
  <c r="K169" i="6" s="1"/>
  <c r="T128" i="6"/>
  <c r="G153" i="9"/>
  <c r="H153" i="9" s="1"/>
  <c r="X154" i="5" s="1"/>
  <c r="G143" i="9"/>
  <c r="H143" i="9" s="1"/>
  <c r="X144" i="5" s="1"/>
  <c r="G135" i="9"/>
  <c r="H135" i="9" s="1"/>
  <c r="X136" i="5" s="1"/>
  <c r="U163" i="6"/>
  <c r="T146" i="6"/>
  <c r="G171" i="9"/>
  <c r="H171" i="9" s="1"/>
  <c r="X172" i="5" s="1"/>
  <c r="O164" i="6"/>
  <c r="H160" i="6"/>
  <c r="U169" i="6"/>
  <c r="U168" i="6"/>
  <c r="G163" i="9"/>
  <c r="H163" i="9" s="1"/>
  <c r="M139" i="6"/>
  <c r="R139" i="6" s="1"/>
  <c r="M135" i="6"/>
  <c r="T156" i="6"/>
  <c r="G146" i="9"/>
  <c r="H146" i="9" s="1"/>
  <c r="X147" i="5" s="1"/>
  <c r="G128" i="9"/>
  <c r="H128" i="9" s="1"/>
  <c r="X129" i="5" s="1"/>
  <c r="M163" i="6"/>
  <c r="R163" i="6" s="1"/>
  <c r="T160" i="6"/>
  <c r="G162" i="9"/>
  <c r="H162" i="9" s="1"/>
  <c r="U142" i="6"/>
  <c r="K163" i="6"/>
  <c r="O163" i="6" s="1"/>
  <c r="M169" i="6"/>
  <c r="K150" i="6"/>
  <c r="G117" i="9"/>
  <c r="H117" i="9" s="1"/>
  <c r="X118" i="5" s="1"/>
  <c r="M117" i="6"/>
  <c r="X167" i="5"/>
  <c r="X162" i="5"/>
  <c r="F10" i="10"/>
  <c r="E118" i="10"/>
  <c r="F118" i="10" s="1"/>
  <c r="G56" i="10" s="1"/>
  <c r="J56" i="10" s="1"/>
  <c r="L116" i="6"/>
  <c r="X170" i="5"/>
  <c r="L151" i="6"/>
  <c r="J151" i="6"/>
  <c r="G127" i="6"/>
  <c r="G92" i="6"/>
  <c r="J92" i="6" s="1"/>
  <c r="L92" i="6"/>
  <c r="X169" i="5"/>
  <c r="G67" i="6"/>
  <c r="G80" i="6"/>
  <c r="L80" i="6"/>
  <c r="G57" i="6"/>
  <c r="G28" i="6"/>
  <c r="L28" i="6"/>
  <c r="G41" i="6"/>
  <c r="G19" i="6"/>
  <c r="L19" i="6"/>
  <c r="G33" i="6"/>
  <c r="G38" i="6"/>
  <c r="L38" i="6"/>
  <c r="J163" i="6"/>
  <c r="N163" i="6" s="1"/>
  <c r="G164" i="6"/>
  <c r="G44" i="6"/>
  <c r="L44" i="6"/>
  <c r="T173" i="6"/>
  <c r="J169" i="6"/>
  <c r="L169" i="6"/>
  <c r="T169" i="6"/>
  <c r="G169" i="6"/>
  <c r="T165" i="6"/>
  <c r="U122" i="5"/>
  <c r="G171" i="6"/>
  <c r="G167" i="6"/>
  <c r="I163" i="6"/>
  <c r="U144" i="5"/>
  <c r="U136" i="5"/>
  <c r="K162" i="5"/>
  <c r="T162" i="5" s="1"/>
  <c r="T163" i="6"/>
  <c r="U141" i="5"/>
  <c r="U133" i="5"/>
  <c r="U148" i="5"/>
  <c r="U173" i="5"/>
  <c r="U145" i="5"/>
  <c r="U121" i="5"/>
  <c r="U166" i="5"/>
  <c r="U165" i="5"/>
  <c r="U170" i="5"/>
  <c r="U167" i="5"/>
  <c r="U163" i="5"/>
  <c r="U168" i="5"/>
  <c r="P151" i="13"/>
  <c r="Q151" i="13" s="1"/>
  <c r="P33" i="13"/>
  <c r="Q33" i="13" s="1"/>
  <c r="P148" i="13"/>
  <c r="Q148" i="13" s="1"/>
  <c r="P131" i="13"/>
  <c r="Q131" i="13" s="1"/>
  <c r="P127" i="13"/>
  <c r="Q127" i="13" s="1"/>
  <c r="P76" i="13"/>
  <c r="Q76" i="13" s="1"/>
  <c r="P31" i="13"/>
  <c r="Q31" i="13" s="1"/>
  <c r="P29" i="13"/>
  <c r="Q29" i="13" s="1"/>
  <c r="P152" i="13"/>
  <c r="Q152" i="13" s="1"/>
  <c r="P129" i="13"/>
  <c r="Q129" i="13" s="1"/>
  <c r="P122" i="13"/>
  <c r="Q122" i="13" s="1"/>
  <c r="P86" i="13"/>
  <c r="Q86" i="13" s="1"/>
  <c r="P96" i="13"/>
  <c r="Q96" i="13" s="1"/>
  <c r="P81" i="13"/>
  <c r="Q81" i="13" s="1"/>
  <c r="P26" i="13"/>
  <c r="Q26" i="13" s="1"/>
  <c r="P135" i="13"/>
  <c r="Q135" i="13" s="1"/>
  <c r="P140" i="13"/>
  <c r="Q140" i="13" s="1"/>
  <c r="P84" i="13"/>
  <c r="Q84" i="13" s="1"/>
  <c r="P37" i="13"/>
  <c r="Q37" i="13" s="1"/>
  <c r="P80" i="13"/>
  <c r="Q80" i="13" s="1"/>
  <c r="P149" i="13"/>
  <c r="Q149" i="13" s="1"/>
  <c r="P138" i="13"/>
  <c r="Q138" i="13" s="1"/>
  <c r="I86" i="13"/>
  <c r="P79" i="13"/>
  <c r="Q79" i="13" s="1"/>
  <c r="P73" i="13"/>
  <c r="Q73" i="13" s="1"/>
  <c r="P64" i="13"/>
  <c r="Q64" i="13" s="1"/>
  <c r="P143" i="13"/>
  <c r="Q143" i="13" s="1"/>
  <c r="P145" i="13"/>
  <c r="Q145" i="13" s="1"/>
  <c r="P125" i="13"/>
  <c r="Q125" i="13" s="1"/>
  <c r="P85" i="13"/>
  <c r="Q85" i="13" s="1"/>
  <c r="P77" i="13"/>
  <c r="Q77" i="13" s="1"/>
  <c r="P72" i="13"/>
  <c r="Q72" i="13" s="1"/>
  <c r="P133" i="13"/>
  <c r="Q133" i="13" s="1"/>
  <c r="P147" i="13"/>
  <c r="Q147" i="13" s="1"/>
  <c r="P123" i="13"/>
  <c r="Q123" i="13" s="1"/>
  <c r="P63" i="13"/>
  <c r="Q63" i="13" s="1"/>
  <c r="P70" i="13"/>
  <c r="Q70" i="13" s="1"/>
  <c r="P150" i="13"/>
  <c r="Q150" i="13" s="1"/>
  <c r="P137" i="13"/>
  <c r="Q137" i="13" s="1"/>
  <c r="P146" i="13"/>
  <c r="Q146" i="13" s="1"/>
  <c r="P90" i="13"/>
  <c r="Q90" i="13" s="1"/>
  <c r="P41" i="13"/>
  <c r="Q41" i="13" s="1"/>
  <c r="P69" i="13"/>
  <c r="Q69" i="13" s="1"/>
  <c r="I87" i="13"/>
  <c r="I122" i="13"/>
  <c r="I146" i="13"/>
  <c r="I79" i="13"/>
  <c r="I72" i="13"/>
  <c r="I148" i="13"/>
  <c r="I150" i="13"/>
  <c r="I140" i="13"/>
  <c r="I85" i="13"/>
  <c r="I77" i="13"/>
  <c r="I37" i="13"/>
  <c r="I151" i="13"/>
  <c r="I147" i="13"/>
  <c r="I125" i="13"/>
  <c r="I71" i="13"/>
  <c r="I78" i="13"/>
  <c r="I64" i="13"/>
  <c r="I26" i="13"/>
  <c r="I149" i="13"/>
  <c r="I138" i="13"/>
  <c r="I84" i="13"/>
  <c r="I82" i="13"/>
  <c r="I63" i="13"/>
  <c r="I24" i="13"/>
  <c r="I4" i="13"/>
  <c r="I141" i="13"/>
  <c r="I145" i="13"/>
  <c r="I127" i="13"/>
  <c r="I80" i="13"/>
  <c r="I74" i="13"/>
  <c r="I81" i="13"/>
  <c r="I22" i="13"/>
  <c r="I143" i="13"/>
  <c r="I123" i="13"/>
  <c r="I76" i="13"/>
  <c r="I96" i="13"/>
  <c r="I16" i="13"/>
  <c r="I152" i="13"/>
  <c r="I94" i="13"/>
  <c r="I83" i="13"/>
  <c r="I31" i="13"/>
  <c r="H177" i="13"/>
  <c r="I175" i="13"/>
  <c r="I173" i="13"/>
  <c r="I171" i="13"/>
  <c r="I169" i="13"/>
  <c r="I167" i="13"/>
  <c r="I170" i="13"/>
  <c r="I158" i="13"/>
  <c r="I168" i="13"/>
  <c r="I160" i="13"/>
  <c r="I153" i="13"/>
  <c r="I157" i="13"/>
  <c r="I155" i="13"/>
  <c r="I174" i="13"/>
  <c r="I159" i="13"/>
  <c r="I154" i="13"/>
  <c r="I142" i="13"/>
  <c r="I136" i="13"/>
  <c r="I134" i="13"/>
  <c r="I132" i="13"/>
  <c r="I130" i="13"/>
  <c r="I172" i="13"/>
  <c r="I166" i="13"/>
  <c r="I139" i="13"/>
  <c r="I156" i="13"/>
  <c r="I135" i="13"/>
  <c r="I137" i="13"/>
  <c r="I131" i="13"/>
  <c r="I144" i="13"/>
  <c r="I126" i="13"/>
  <c r="I128" i="13"/>
  <c r="I129" i="13"/>
  <c r="I133" i="13"/>
  <c r="I124" i="13"/>
  <c r="I118" i="13"/>
  <c r="I114" i="13"/>
  <c r="I110" i="13"/>
  <c r="I102" i="13"/>
  <c r="I104" i="13"/>
  <c r="I121" i="13"/>
  <c r="I117" i="13"/>
  <c r="I113" i="13"/>
  <c r="I109" i="13"/>
  <c r="I105" i="13"/>
  <c r="I120" i="13"/>
  <c r="I116" i="13"/>
  <c r="I112" i="13"/>
  <c r="I108" i="13"/>
  <c r="I103" i="13"/>
  <c r="I97" i="13"/>
  <c r="I115" i="13"/>
  <c r="I95" i="13"/>
  <c r="I111" i="13"/>
  <c r="I119" i="13"/>
  <c r="I107" i="13"/>
  <c r="I100" i="13"/>
  <c r="I88" i="13"/>
  <c r="I106" i="13"/>
  <c r="I101" i="13"/>
  <c r="I93" i="13"/>
  <c r="I89" i="13"/>
  <c r="I92" i="13"/>
  <c r="I99" i="13"/>
  <c r="I90" i="13"/>
  <c r="I65" i="13"/>
  <c r="I41" i="13"/>
  <c r="I36" i="13"/>
  <c r="I75" i="13"/>
  <c r="I98" i="13"/>
  <c r="I91" i="13"/>
  <c r="I62" i="13"/>
  <c r="I60" i="13"/>
  <c r="I58" i="13"/>
  <c r="I56" i="13"/>
  <c r="I54" i="13"/>
  <c r="I52" i="13"/>
  <c r="I50" i="13"/>
  <c r="I48" i="13"/>
  <c r="I46" i="13"/>
  <c r="I44" i="13"/>
  <c r="I42" i="13"/>
  <c r="I32" i="13"/>
  <c r="I38" i="13"/>
  <c r="I27" i="13"/>
  <c r="I28" i="13"/>
  <c r="I39" i="13"/>
  <c r="I34" i="13"/>
  <c r="I66" i="13"/>
  <c r="I61" i="13"/>
  <c r="I59" i="13"/>
  <c r="I57" i="13"/>
  <c r="I55" i="13"/>
  <c r="I53" i="13"/>
  <c r="I51" i="13"/>
  <c r="I49" i="13"/>
  <c r="I47" i="13"/>
  <c r="I45" i="13"/>
  <c r="I43" i="13"/>
  <c r="I40" i="13"/>
  <c r="I29" i="13"/>
  <c r="I35" i="13"/>
  <c r="I30" i="13"/>
  <c r="I25" i="13"/>
  <c r="I23" i="13"/>
  <c r="I21" i="13"/>
  <c r="I19" i="13"/>
  <c r="I17" i="13"/>
  <c r="I15" i="13"/>
  <c r="I13" i="13"/>
  <c r="I11" i="13"/>
  <c r="I9" i="13"/>
  <c r="I7" i="13"/>
  <c r="I5" i="13"/>
  <c r="I3" i="13"/>
  <c r="I69" i="13"/>
  <c r="I18" i="13"/>
  <c r="I67" i="13"/>
  <c r="I73" i="13"/>
  <c r="I14" i="13"/>
  <c r="I70" i="13"/>
  <c r="I33" i="13"/>
  <c r="I12" i="13"/>
  <c r="I10" i="13"/>
  <c r="I6" i="13"/>
  <c r="I20" i="13"/>
  <c r="I68" i="13"/>
  <c r="H50" i="4"/>
  <c r="P50" i="4" s="1"/>
  <c r="X145" i="4"/>
  <c r="X163" i="4"/>
  <c r="H17" i="4"/>
  <c r="P17" i="4" s="1"/>
  <c r="AB124" i="4"/>
  <c r="H7" i="4"/>
  <c r="P7" i="4" s="1"/>
  <c r="H95" i="4"/>
  <c r="P95" i="4" s="1"/>
  <c r="X7" i="4"/>
  <c r="H36" i="4"/>
  <c r="P36" i="4" s="1"/>
  <c r="X116" i="4"/>
  <c r="AB38" i="4"/>
  <c r="X95" i="4"/>
  <c r="H161" i="4"/>
  <c r="P161" i="4" s="1"/>
  <c r="X36" i="4"/>
  <c r="AB72" i="4"/>
  <c r="AB24" i="4"/>
  <c r="H39" i="4"/>
  <c r="P39" i="4" s="1"/>
  <c r="H32" i="4"/>
  <c r="P32" i="4" s="1"/>
  <c r="X10" i="4"/>
  <c r="H117" i="4"/>
  <c r="P117" i="4" s="1"/>
  <c r="H98" i="4"/>
  <c r="P98" i="4" s="1"/>
  <c r="AB174" i="4"/>
  <c r="AB145" i="4"/>
  <c r="X39" i="4"/>
  <c r="X32" i="4"/>
  <c r="H23" i="4"/>
  <c r="P23" i="4" s="1"/>
  <c r="X117" i="4"/>
  <c r="X23" i="4"/>
  <c r="X107" i="4"/>
  <c r="H124" i="4"/>
  <c r="P124" i="4" s="1"/>
  <c r="AB76" i="4"/>
  <c r="H163" i="4"/>
  <c r="P163" i="4" s="1"/>
  <c r="X129" i="4"/>
  <c r="H49" i="4"/>
  <c r="P49" i="4" s="1"/>
  <c r="H92" i="4"/>
  <c r="P92" i="4" s="1"/>
  <c r="X114" i="4"/>
  <c r="H126" i="4"/>
  <c r="P126" i="4" s="1"/>
  <c r="H107" i="4"/>
  <c r="P107" i="4" s="1"/>
  <c r="H129" i="4"/>
  <c r="P129" i="4" s="1"/>
  <c r="H72" i="4"/>
  <c r="P72" i="4" s="1"/>
  <c r="X74" i="4"/>
  <c r="AB74" i="4"/>
  <c r="X48" i="4"/>
  <c r="X161" i="4"/>
  <c r="H80" i="4"/>
  <c r="P80" i="4" s="1"/>
  <c r="X84" i="4"/>
  <c r="X128" i="4"/>
  <c r="X96" i="4"/>
  <c r="X103" i="4"/>
  <c r="X79" i="4"/>
  <c r="H24" i="4"/>
  <c r="P24" i="4" s="1"/>
  <c r="H122" i="4"/>
  <c r="P122" i="4" s="1"/>
  <c r="H38" i="4"/>
  <c r="P38" i="4" s="1"/>
  <c r="X80" i="4"/>
  <c r="H35" i="4"/>
  <c r="P35" i="4" s="1"/>
  <c r="H132" i="4"/>
  <c r="P132" i="4" s="1"/>
  <c r="H5" i="4"/>
  <c r="P5" i="4" s="1"/>
  <c r="H58" i="4"/>
  <c r="P58" i="4" s="1"/>
  <c r="H60" i="4"/>
  <c r="P60" i="4" s="1"/>
  <c r="X35" i="4"/>
  <c r="X132" i="4"/>
  <c r="H78" i="4"/>
  <c r="P78" i="4" s="1"/>
  <c r="X5" i="4"/>
  <c r="X58" i="4"/>
  <c r="X60" i="4"/>
  <c r="H164" i="4"/>
  <c r="P164" i="4" s="1"/>
  <c r="H144" i="4"/>
  <c r="P144" i="4" s="1"/>
  <c r="H29" i="4"/>
  <c r="P29" i="4" s="1"/>
  <c r="H133" i="4"/>
  <c r="P133" i="4" s="1"/>
  <c r="H84" i="4"/>
  <c r="P84" i="4" s="1"/>
  <c r="H128" i="4"/>
  <c r="P128" i="4" s="1"/>
  <c r="X78" i="4"/>
  <c r="H114" i="4"/>
  <c r="P114" i="4" s="1"/>
  <c r="X164" i="4"/>
  <c r="H73" i="4"/>
  <c r="P73" i="4" s="1"/>
  <c r="X29" i="4"/>
  <c r="X133" i="4"/>
  <c r="H149" i="4"/>
  <c r="P149" i="4" s="1"/>
  <c r="X149" i="4"/>
  <c r="AB149" i="4"/>
  <c r="X66" i="4"/>
  <c r="H66" i="4"/>
  <c r="P66" i="4" s="1"/>
  <c r="AB66" i="4"/>
  <c r="AB33" i="4"/>
  <c r="X33" i="4"/>
  <c r="AB97" i="4"/>
  <c r="X97" i="4"/>
  <c r="H97" i="4"/>
  <c r="P97" i="4" s="1"/>
  <c r="X44" i="4"/>
  <c r="H44" i="4"/>
  <c r="P44" i="4" s="1"/>
  <c r="X165" i="4"/>
  <c r="H165" i="4"/>
  <c r="P165" i="4" s="1"/>
  <c r="AB83" i="4"/>
  <c r="X83" i="4"/>
  <c r="H83" i="4"/>
  <c r="P83" i="4" s="1"/>
  <c r="AB34" i="4"/>
  <c r="X34" i="4"/>
  <c r="H157" i="4"/>
  <c r="P157" i="4" s="1"/>
  <c r="X157" i="4"/>
  <c r="AB37" i="4"/>
  <c r="X37" i="4"/>
  <c r="H37" i="4"/>
  <c r="P37" i="4" s="1"/>
  <c r="AB27" i="4"/>
  <c r="H27" i="4"/>
  <c r="P27" i="4" s="1"/>
  <c r="AB121" i="4"/>
  <c r="X121" i="4"/>
  <c r="H121" i="4"/>
  <c r="P121" i="4" s="1"/>
  <c r="AB112" i="4"/>
  <c r="H112" i="4"/>
  <c r="P112" i="4" s="1"/>
  <c r="H52" i="4"/>
  <c r="P52" i="4" s="1"/>
  <c r="H76" i="4"/>
  <c r="P76" i="4" s="1"/>
  <c r="X171" i="4"/>
  <c r="X70" i="4"/>
  <c r="H70" i="4"/>
  <c r="P70" i="4" s="1"/>
  <c r="AB105" i="4"/>
  <c r="H105" i="4"/>
  <c r="P105" i="4" s="1"/>
  <c r="AB159" i="4"/>
  <c r="X104" i="4"/>
  <c r="H104" i="4"/>
  <c r="P104" i="4" s="1"/>
  <c r="X52" i="4"/>
  <c r="AB9" i="4"/>
  <c r="X150" i="4"/>
  <c r="H150" i="4"/>
  <c r="P150" i="4" s="1"/>
  <c r="AB141" i="4"/>
  <c r="X138" i="4"/>
  <c r="H138" i="4"/>
  <c r="P138" i="4" s="1"/>
  <c r="AB101" i="4"/>
  <c r="H101" i="4"/>
  <c r="P101" i="4" s="1"/>
  <c r="AB151" i="4"/>
  <c r="X151" i="4"/>
  <c r="H151" i="4"/>
  <c r="P151" i="4" s="1"/>
  <c r="AB139" i="4"/>
  <c r="X139" i="4"/>
  <c r="H139" i="4"/>
  <c r="P139" i="4" s="1"/>
  <c r="AB40" i="4"/>
  <c r="H40" i="4"/>
  <c r="P40" i="4" s="1"/>
  <c r="X6" i="4"/>
  <c r="H170" i="4"/>
  <c r="P170" i="4" s="1"/>
  <c r="X170" i="4"/>
  <c r="H113" i="4"/>
  <c r="P113" i="4" s="1"/>
  <c r="X113" i="4"/>
  <c r="AB147" i="4"/>
  <c r="H147" i="4"/>
  <c r="P147" i="4" s="1"/>
  <c r="X158" i="4"/>
  <c r="X140" i="4"/>
  <c r="X64" i="4"/>
  <c r="AB73" i="4"/>
  <c r="AB144" i="4"/>
  <c r="AB119" i="4"/>
  <c r="K177" i="4"/>
  <c r="H22" i="4"/>
  <c r="P22" i="4" s="1"/>
  <c r="H137" i="4"/>
  <c r="P137" i="4" s="1"/>
  <c r="AB162" i="4"/>
  <c r="AB137" i="4"/>
  <c r="AB64" i="4"/>
  <c r="AB48" i="4"/>
  <c r="AB167" i="4"/>
  <c r="AB63" i="4"/>
  <c r="AB140" i="4"/>
  <c r="AB148" i="4"/>
  <c r="AB22" i="4"/>
  <c r="AB158" i="4"/>
  <c r="AB135" i="4"/>
  <c r="AB10" i="4"/>
  <c r="AB31" i="4"/>
  <c r="F177" i="4"/>
  <c r="I44" i="4" s="1"/>
  <c r="H148" i="4"/>
  <c r="P148" i="4" s="1"/>
  <c r="H162" i="4"/>
  <c r="P162" i="4" s="1"/>
  <c r="H119" i="4"/>
  <c r="P119" i="4" s="1"/>
  <c r="AB120" i="4"/>
  <c r="AB45" i="4"/>
  <c r="X88" i="4"/>
  <c r="H88" i="4"/>
  <c r="P88" i="4" s="1"/>
  <c r="AB88" i="4"/>
  <c r="X130" i="4"/>
  <c r="H130" i="4"/>
  <c r="P130" i="4" s="1"/>
  <c r="AB130" i="4"/>
  <c r="AB93" i="4"/>
  <c r="H93" i="4"/>
  <c r="P93" i="4" s="1"/>
  <c r="H6" i="4"/>
  <c r="P6" i="4" s="1"/>
  <c r="H33" i="4"/>
  <c r="P33" i="4" s="1"/>
  <c r="AB85" i="4"/>
  <c r="H85" i="4"/>
  <c r="P85" i="4" s="1"/>
  <c r="X89" i="4"/>
  <c r="H89" i="4"/>
  <c r="P89" i="4" s="1"/>
  <c r="AB89" i="4"/>
  <c r="X156" i="4"/>
  <c r="H156" i="4"/>
  <c r="P156" i="4" s="1"/>
  <c r="AB156" i="4"/>
  <c r="AB99" i="4"/>
  <c r="X99" i="4"/>
  <c r="H103" i="4"/>
  <c r="P103" i="4" s="1"/>
  <c r="AB103" i="4"/>
  <c r="H108" i="4"/>
  <c r="P108" i="4" s="1"/>
  <c r="AB108" i="4"/>
  <c r="AB110" i="4"/>
  <c r="X110" i="4"/>
  <c r="H141" i="4"/>
  <c r="P141" i="4" s="1"/>
  <c r="H9" i="4"/>
  <c r="P9" i="4" s="1"/>
  <c r="X77" i="4"/>
  <c r="H77" i="4"/>
  <c r="P77" i="4" s="1"/>
  <c r="AB77" i="4"/>
  <c r="X61" i="4"/>
  <c r="H61" i="4"/>
  <c r="P61" i="4" s="1"/>
  <c r="AB61" i="4"/>
  <c r="AB160" i="4"/>
  <c r="H160" i="4"/>
  <c r="P160" i="4" s="1"/>
  <c r="AB19" i="4"/>
  <c r="H19" i="4"/>
  <c r="P19" i="4" s="1"/>
  <c r="H75" i="4"/>
  <c r="P75" i="4" s="1"/>
  <c r="X18" i="4"/>
  <c r="AB18" i="4"/>
  <c r="X17" i="4"/>
  <c r="AB17" i="4"/>
  <c r="X47" i="4"/>
  <c r="H47" i="4"/>
  <c r="P47" i="4" s="1"/>
  <c r="AB47" i="4"/>
  <c r="X46" i="4"/>
  <c r="H46" i="4"/>
  <c r="P46" i="4" s="1"/>
  <c r="AB46" i="4"/>
  <c r="H55" i="4"/>
  <c r="P55" i="4" s="1"/>
  <c r="AB55" i="4"/>
  <c r="X65" i="4"/>
  <c r="H65" i="4"/>
  <c r="P65" i="4" s="1"/>
  <c r="AB65" i="4"/>
  <c r="X143" i="4"/>
  <c r="H143" i="4"/>
  <c r="P143" i="4" s="1"/>
  <c r="AB143" i="4"/>
  <c r="X173" i="4"/>
  <c r="H173" i="4"/>
  <c r="P173" i="4" s="1"/>
  <c r="AB173" i="4"/>
  <c r="X11" i="4"/>
  <c r="X13" i="4"/>
  <c r="X15" i="4"/>
  <c r="X12" i="4"/>
  <c r="G12" i="10" l="1"/>
  <c r="J12" i="10" s="1"/>
  <c r="G76" i="10"/>
  <c r="J76" i="10" s="1"/>
  <c r="G5" i="10"/>
  <c r="J5" i="10" s="1"/>
  <c r="G28" i="10"/>
  <c r="J28" i="10" s="1"/>
  <c r="K28" i="10" s="1"/>
  <c r="L28" i="10" s="1"/>
  <c r="U29" i="5" s="1"/>
  <c r="G60" i="10"/>
  <c r="J60" i="10" s="1"/>
  <c r="Q60" i="10" s="1"/>
  <c r="R60" i="10" s="1"/>
  <c r="G92" i="10"/>
  <c r="J92" i="10" s="1"/>
  <c r="K92" i="10" s="1"/>
  <c r="L92" i="10" s="1"/>
  <c r="U93" i="5" s="1"/>
  <c r="G8" i="10"/>
  <c r="J8" i="10" s="1"/>
  <c r="G40" i="10"/>
  <c r="J40" i="10" s="1"/>
  <c r="K40" i="10" s="1"/>
  <c r="L40" i="10" s="1"/>
  <c r="U41" i="5" s="1"/>
  <c r="G72" i="10"/>
  <c r="J72" i="10" s="1"/>
  <c r="K72" i="10" s="1"/>
  <c r="L72" i="10" s="1"/>
  <c r="U73" i="5" s="1"/>
  <c r="G104" i="10"/>
  <c r="J104" i="10" s="1"/>
  <c r="Q104" i="10" s="1"/>
  <c r="R104" i="10" s="1"/>
  <c r="B46" i="6"/>
  <c r="B46" i="9"/>
  <c r="G44" i="10"/>
  <c r="J44" i="10" s="1"/>
  <c r="Q44" i="10" s="1"/>
  <c r="R44" i="10" s="1"/>
  <c r="L67" i="6"/>
  <c r="L142" i="6"/>
  <c r="H117" i="6"/>
  <c r="K117" i="6"/>
  <c r="O117" i="6" s="1"/>
  <c r="M156" i="6"/>
  <c r="U156" i="6"/>
  <c r="M148" i="6"/>
  <c r="H148" i="6"/>
  <c r="R148" i="6" s="1"/>
  <c r="K148" i="6"/>
  <c r="H145" i="6"/>
  <c r="K145" i="6"/>
  <c r="O145" i="6" s="1"/>
  <c r="M145" i="6"/>
  <c r="R145" i="6" s="1"/>
  <c r="M126" i="6"/>
  <c r="H126" i="6"/>
  <c r="J167" i="6"/>
  <c r="N167" i="6" s="1"/>
  <c r="P167" i="6" s="1"/>
  <c r="U167" i="6"/>
  <c r="T167" i="6"/>
  <c r="H174" i="6"/>
  <c r="U174" i="6"/>
  <c r="K174" i="6"/>
  <c r="O174" i="6" s="1"/>
  <c r="M174" i="6"/>
  <c r="R174" i="6" s="1"/>
  <c r="K162" i="6"/>
  <c r="M162" i="6"/>
  <c r="H162" i="6"/>
  <c r="O162" i="6" s="1"/>
  <c r="O4" i="5"/>
  <c r="F177" i="5"/>
  <c r="B114" i="9"/>
  <c r="B15" i="6"/>
  <c r="AF5" i="6"/>
  <c r="AF11" i="6"/>
  <c r="R117" i="6"/>
  <c r="B103" i="9"/>
  <c r="B103" i="6"/>
  <c r="B70" i="9"/>
  <c r="B70" i="6"/>
  <c r="B18" i="6"/>
  <c r="B18" i="9"/>
  <c r="B30" i="9"/>
  <c r="B30" i="6"/>
  <c r="B7" i="9"/>
  <c r="B7" i="6"/>
  <c r="B28" i="9"/>
  <c r="B28" i="6"/>
  <c r="B140" i="9"/>
  <c r="B140" i="6"/>
  <c r="B54" i="6"/>
  <c r="B54" i="9"/>
  <c r="G5" i="8"/>
  <c r="I5" i="8" s="1"/>
  <c r="J5" i="8" s="1"/>
  <c r="K5" i="8" s="1"/>
  <c r="G39" i="8"/>
  <c r="I39" i="8" s="1"/>
  <c r="J39" i="8" s="1"/>
  <c r="K39" i="8" s="1"/>
  <c r="O65" i="8" s="1"/>
  <c r="AB10" i="6"/>
  <c r="L163" i="6" s="1"/>
  <c r="Q163" i="6" s="1"/>
  <c r="G22" i="8"/>
  <c r="I22" i="8" s="1"/>
  <c r="J22" i="8" s="1"/>
  <c r="K22" i="8" s="1"/>
  <c r="G33" i="8"/>
  <c r="I33" i="8" s="1"/>
  <c r="J33" i="8" s="1"/>
  <c r="K33" i="8" s="1"/>
  <c r="G18" i="8"/>
  <c r="I18" i="8" s="1"/>
  <c r="J18" i="8" s="1"/>
  <c r="K18" i="8" s="1"/>
  <c r="G7" i="8"/>
  <c r="I7" i="8" s="1"/>
  <c r="J7" i="8" s="1"/>
  <c r="K7" i="8" s="1"/>
  <c r="O10" i="8" s="1"/>
  <c r="R10" i="8" s="1"/>
  <c r="G10" i="8"/>
  <c r="I10" i="8" s="1"/>
  <c r="J10" i="8" s="1"/>
  <c r="K10" i="8" s="1"/>
  <c r="G27" i="8"/>
  <c r="I27" i="8" s="1"/>
  <c r="J27" i="8" s="1"/>
  <c r="K27" i="8" s="1"/>
  <c r="G2" i="8"/>
  <c r="I2" i="8" s="1"/>
  <c r="J2" i="8" s="1"/>
  <c r="K2" i="8" s="1"/>
  <c r="L148" i="6"/>
  <c r="L41" i="6"/>
  <c r="L174" i="6"/>
  <c r="G15" i="8"/>
  <c r="I15" i="8" s="1"/>
  <c r="J15" i="8" s="1"/>
  <c r="K15" i="8" s="1"/>
  <c r="O26" i="8" s="1"/>
  <c r="R26" i="8" s="1"/>
  <c r="G44" i="8"/>
  <c r="I44" i="8" s="1"/>
  <c r="J44" i="8" s="1"/>
  <c r="K44" i="8" s="1"/>
  <c r="O99" i="8" s="1"/>
  <c r="R99" i="8" s="1"/>
  <c r="G45" i="8"/>
  <c r="I45" i="8" s="1"/>
  <c r="J45" i="8" s="1"/>
  <c r="K45" i="8" s="1"/>
  <c r="O106" i="8" s="1"/>
  <c r="R106" i="8" s="1"/>
  <c r="G6" i="8"/>
  <c r="I6" i="8" s="1"/>
  <c r="J6" i="8" s="1"/>
  <c r="K6" i="8" s="1"/>
  <c r="G14" i="8"/>
  <c r="I14" i="8" s="1"/>
  <c r="J14" i="8" s="1"/>
  <c r="K14" i="8" s="1"/>
  <c r="G12" i="8"/>
  <c r="I12" i="8" s="1"/>
  <c r="J12" i="8" s="1"/>
  <c r="K12" i="8" s="1"/>
  <c r="O21" i="8" s="1"/>
  <c r="R21" i="8" s="1"/>
  <c r="G40" i="8"/>
  <c r="I40" i="8" s="1"/>
  <c r="J40" i="8" s="1"/>
  <c r="K40" i="8" s="1"/>
  <c r="O73" i="8" s="1"/>
  <c r="G31" i="8"/>
  <c r="I31" i="8" s="1"/>
  <c r="J31" i="8" s="1"/>
  <c r="K31" i="8" s="1"/>
  <c r="G19" i="8"/>
  <c r="I19" i="8" s="1"/>
  <c r="J19" i="8" s="1"/>
  <c r="K19" i="8" s="1"/>
  <c r="G3" i="8"/>
  <c r="I3" i="8" s="1"/>
  <c r="J3" i="8" s="1"/>
  <c r="K3" i="8" s="1"/>
  <c r="G13" i="8"/>
  <c r="I13" i="8" s="1"/>
  <c r="J13" i="8" s="1"/>
  <c r="K13" i="8" s="1"/>
  <c r="O22" i="8" s="1"/>
  <c r="L127" i="6"/>
  <c r="L57" i="6"/>
  <c r="L33" i="6"/>
  <c r="Q33" i="6" s="1"/>
  <c r="G43" i="8"/>
  <c r="I43" i="8" s="1"/>
  <c r="J43" i="8" s="1"/>
  <c r="K43" i="8" s="1"/>
  <c r="O91" i="8" s="1"/>
  <c r="B95" i="9"/>
  <c r="B95" i="6"/>
  <c r="B48" i="6"/>
  <c r="B48" i="9"/>
  <c r="G108" i="10"/>
  <c r="J108" i="10" s="1"/>
  <c r="L73" i="6"/>
  <c r="Q73" i="6" s="1"/>
  <c r="R18" i="8"/>
  <c r="V19" i="5"/>
  <c r="U126" i="6"/>
  <c r="T126" i="6"/>
  <c r="M127" i="6"/>
  <c r="H127" i="6"/>
  <c r="H123" i="6"/>
  <c r="K123" i="6" s="1"/>
  <c r="O123" i="6" s="1"/>
  <c r="M123" i="6"/>
  <c r="R123" i="6" s="1"/>
  <c r="M154" i="6"/>
  <c r="U154" i="6"/>
  <c r="T154" i="6"/>
  <c r="H140" i="6"/>
  <c r="K140" i="6" s="1"/>
  <c r="O140" i="6" s="1"/>
  <c r="H125" i="6"/>
  <c r="K125" i="6"/>
  <c r="O125" i="6" s="1"/>
  <c r="M125" i="6"/>
  <c r="R125" i="6" s="1"/>
  <c r="H135" i="6"/>
  <c r="R135" i="6" s="1"/>
  <c r="K135" i="6"/>
  <c r="T140" i="6"/>
  <c r="L20" i="6"/>
  <c r="Q20" i="6" s="1"/>
  <c r="G20" i="6"/>
  <c r="T172" i="6"/>
  <c r="M172" i="6"/>
  <c r="R172" i="6" s="1"/>
  <c r="L160" i="6"/>
  <c r="Q160" i="6" s="1"/>
  <c r="G160" i="6"/>
  <c r="J160" i="6" s="1"/>
  <c r="H170" i="6"/>
  <c r="M170" i="6"/>
  <c r="R170" i="6" s="1"/>
  <c r="K170" i="6"/>
  <c r="O170" i="6" s="1"/>
  <c r="T162" i="6"/>
  <c r="G162" i="6"/>
  <c r="G88" i="10"/>
  <c r="J88" i="10" s="1"/>
  <c r="K88" i="10" s="1"/>
  <c r="L88" i="10" s="1"/>
  <c r="U89" i="5" s="1"/>
  <c r="G24" i="10"/>
  <c r="J24" i="10" s="1"/>
  <c r="K24" i="10" s="1"/>
  <c r="L24" i="10" s="1"/>
  <c r="U25" i="5" s="1"/>
  <c r="T174" i="6"/>
  <c r="L167" i="6"/>
  <c r="U162" i="6"/>
  <c r="H156" i="6"/>
  <c r="H151" i="6"/>
  <c r="K151" i="6" s="1"/>
  <c r="H133" i="6"/>
  <c r="R133" i="6" s="1"/>
  <c r="G131" i="9"/>
  <c r="H131" i="9" s="1"/>
  <c r="X132" i="5" s="1"/>
  <c r="G17" i="8"/>
  <c r="I17" i="8" s="1"/>
  <c r="J17" i="8" s="1"/>
  <c r="K17" i="8" s="1"/>
  <c r="O37" i="8" s="1"/>
  <c r="V38" i="5" s="1"/>
  <c r="G167" i="9"/>
  <c r="H167" i="9" s="1"/>
  <c r="X168" i="5" s="1"/>
  <c r="L14" i="6"/>
  <c r="G145" i="9"/>
  <c r="H145" i="9" s="1"/>
  <c r="X146" i="5" s="1"/>
  <c r="G170" i="9"/>
  <c r="H170" i="9" s="1"/>
  <c r="X171" i="5" s="1"/>
  <c r="O177" i="5"/>
  <c r="B134" i="6"/>
  <c r="B134" i="9"/>
  <c r="B172" i="6"/>
  <c r="B172" i="9"/>
  <c r="B144" i="9"/>
  <c r="B144" i="6"/>
  <c r="L166" i="6"/>
  <c r="Q166" i="6" s="1"/>
  <c r="K129" i="6"/>
  <c r="O129" i="6" s="1"/>
  <c r="G23" i="9"/>
  <c r="H23" i="9" s="1"/>
  <c r="X24" i="5" s="1"/>
  <c r="M152" i="6"/>
  <c r="M128" i="6"/>
  <c r="M141" i="6"/>
  <c r="B55" i="6"/>
  <c r="B39" i="9"/>
  <c r="B39" i="6"/>
  <c r="B88" i="9"/>
  <c r="B88" i="6"/>
  <c r="B16" i="9"/>
  <c r="B16" i="6"/>
  <c r="B120" i="9"/>
  <c r="B120" i="6"/>
  <c r="B20" i="9"/>
  <c r="B20" i="6"/>
  <c r="B80" i="9"/>
  <c r="B80" i="6"/>
  <c r="G37" i="9"/>
  <c r="H37" i="9" s="1"/>
  <c r="X38" i="5" s="1"/>
  <c r="L144" i="6"/>
  <c r="G157" i="9"/>
  <c r="H157" i="9" s="1"/>
  <c r="X158" i="5" s="1"/>
  <c r="G102" i="9"/>
  <c r="H102" i="9" s="1"/>
  <c r="X103" i="5" s="1"/>
  <c r="E176" i="9"/>
  <c r="T168" i="6"/>
  <c r="U170" i="6"/>
  <c r="I166" i="6"/>
  <c r="B52" i="9"/>
  <c r="B52" i="6"/>
  <c r="B76" i="9"/>
  <c r="B76" i="6"/>
  <c r="G144" i="6"/>
  <c r="M155" i="6"/>
  <c r="R155" i="6" s="1"/>
  <c r="M119" i="6"/>
  <c r="R119" i="6" s="1"/>
  <c r="U165" i="6"/>
  <c r="M130" i="6"/>
  <c r="R130" i="6" s="1"/>
  <c r="M136" i="6"/>
  <c r="R136" i="6" s="1"/>
  <c r="G158" i="9"/>
  <c r="H158" i="9" s="1"/>
  <c r="X159" i="5" s="1"/>
  <c r="G144" i="9"/>
  <c r="H144" i="9" s="1"/>
  <c r="X145" i="5" s="1"/>
  <c r="M134" i="6"/>
  <c r="B40" i="9"/>
  <c r="B40" i="6"/>
  <c r="B36" i="9"/>
  <c r="B36" i="6"/>
  <c r="B12" i="9"/>
  <c r="B12" i="6"/>
  <c r="B71" i="6"/>
  <c r="B71" i="9"/>
  <c r="V100" i="5"/>
  <c r="B158" i="6"/>
  <c r="B158" i="9"/>
  <c r="T166" i="6"/>
  <c r="L165" i="6"/>
  <c r="L173" i="6"/>
  <c r="G14" i="6"/>
  <c r="L132" i="6"/>
  <c r="Q132" i="6" s="1"/>
  <c r="U152" i="6"/>
  <c r="M147" i="6"/>
  <c r="K149" i="6"/>
  <c r="O149" i="6" s="1"/>
  <c r="V22" i="5"/>
  <c r="V62" i="5"/>
  <c r="G48" i="9"/>
  <c r="H48" i="9" s="1"/>
  <c r="X49" i="5" s="1"/>
  <c r="U126" i="5"/>
  <c r="G173" i="9"/>
  <c r="H173" i="9" s="1"/>
  <c r="X174" i="5" s="1"/>
  <c r="U160" i="6"/>
  <c r="B31" i="6"/>
  <c r="B31" i="9"/>
  <c r="B119" i="9"/>
  <c r="B119" i="6"/>
  <c r="L170" i="6"/>
  <c r="J165" i="6"/>
  <c r="N165" i="6" s="1"/>
  <c r="P165" i="6" s="1"/>
  <c r="L171" i="6"/>
  <c r="Q171" i="6" s="1"/>
  <c r="L98" i="6"/>
  <c r="K165" i="6"/>
  <c r="O165" i="6" s="1"/>
  <c r="T171" i="6"/>
  <c r="M168" i="6"/>
  <c r="R168" i="6" s="1"/>
  <c r="K166" i="6"/>
  <c r="O166" i="6" s="1"/>
  <c r="U171" i="6"/>
  <c r="U173" i="6"/>
  <c r="M129" i="6"/>
  <c r="R129" i="6" s="1"/>
  <c r="M144" i="6"/>
  <c r="R144" i="6" s="1"/>
  <c r="V107" i="5"/>
  <c r="O43" i="8"/>
  <c r="O51" i="8"/>
  <c r="G29" i="9"/>
  <c r="H29" i="9" s="1"/>
  <c r="X30" i="5" s="1"/>
  <c r="G62" i="9"/>
  <c r="H62" i="9" s="1"/>
  <c r="X63" i="5" s="1"/>
  <c r="G69" i="9"/>
  <c r="H69" i="9" s="1"/>
  <c r="X70" i="5" s="1"/>
  <c r="G115" i="9"/>
  <c r="H115" i="9" s="1"/>
  <c r="X116" i="5" s="1"/>
  <c r="U155" i="5"/>
  <c r="U150" i="5"/>
  <c r="U118" i="5"/>
  <c r="U151" i="5"/>
  <c r="G134" i="9"/>
  <c r="H134" i="9" s="1"/>
  <c r="X135" i="5" s="1"/>
  <c r="B58" i="6"/>
  <c r="B26" i="6"/>
  <c r="B60" i="6"/>
  <c r="B60" i="9"/>
  <c r="U169" i="5"/>
  <c r="T170" i="6"/>
  <c r="J166" i="6"/>
  <c r="N166" i="6" s="1"/>
  <c r="P166" i="6" s="1"/>
  <c r="G98" i="6"/>
  <c r="M165" i="6"/>
  <c r="R165" i="6" s="1"/>
  <c r="M149" i="6"/>
  <c r="R149" i="6" s="1"/>
  <c r="K144" i="6"/>
  <c r="O144" i="6" s="1"/>
  <c r="U149" i="6"/>
  <c r="M166" i="6"/>
  <c r="R166" i="6" s="1"/>
  <c r="S166" i="6" s="1"/>
  <c r="V166" i="6" s="1"/>
  <c r="W167" i="5" s="1"/>
  <c r="U166" i="6"/>
  <c r="G9" i="9"/>
  <c r="H9" i="9" s="1"/>
  <c r="X10" i="5" s="1"/>
  <c r="G28" i="9"/>
  <c r="H28" i="9" s="1"/>
  <c r="X29" i="5" s="1"/>
  <c r="G64" i="9"/>
  <c r="H64" i="9" s="1"/>
  <c r="X65" i="5" s="1"/>
  <c r="G107" i="9"/>
  <c r="H107" i="9" s="1"/>
  <c r="X108" i="5" s="1"/>
  <c r="U171" i="5"/>
  <c r="U143" i="5"/>
  <c r="B159" i="9"/>
  <c r="B159" i="6"/>
  <c r="B104" i="6"/>
  <c r="B104" i="9"/>
  <c r="M87" i="6"/>
  <c r="H87" i="6"/>
  <c r="K87" i="6" s="1"/>
  <c r="H2" i="6"/>
  <c r="M2" i="6"/>
  <c r="K2" i="6"/>
  <c r="H84" i="6"/>
  <c r="K84" i="6" s="1"/>
  <c r="M84" i="6"/>
  <c r="H20" i="6"/>
  <c r="M20" i="6"/>
  <c r="H50" i="6"/>
  <c r="K50" i="6" s="1"/>
  <c r="M50" i="6"/>
  <c r="H80" i="6"/>
  <c r="M80" i="6"/>
  <c r="H79" i="6"/>
  <c r="K79" i="6" s="1"/>
  <c r="M79" i="6"/>
  <c r="H101" i="6"/>
  <c r="K101" i="6" s="1"/>
  <c r="O101" i="6" s="1"/>
  <c r="M101" i="6"/>
  <c r="M76" i="6"/>
  <c r="H76" i="6"/>
  <c r="K76" i="6" s="1"/>
  <c r="H11" i="6"/>
  <c r="K11" i="6" s="1"/>
  <c r="O11" i="6" s="1"/>
  <c r="M11" i="6"/>
  <c r="H59" i="6"/>
  <c r="K59" i="6" s="1"/>
  <c r="M59" i="6"/>
  <c r="H94" i="6"/>
  <c r="K94" i="6" s="1"/>
  <c r="M94" i="6"/>
  <c r="H72" i="6"/>
  <c r="M72" i="6"/>
  <c r="M71" i="6"/>
  <c r="H71" i="6"/>
  <c r="K71" i="6" s="1"/>
  <c r="O71" i="6" s="1"/>
  <c r="M16" i="6"/>
  <c r="H16" i="6"/>
  <c r="K16" i="6"/>
  <c r="H54" i="6"/>
  <c r="K54" i="6" s="1"/>
  <c r="O54" i="6" s="1"/>
  <c r="M54" i="6"/>
  <c r="H111" i="6"/>
  <c r="K111" i="6" s="1"/>
  <c r="O111" i="6" s="1"/>
  <c r="M111" i="6"/>
  <c r="H68" i="6"/>
  <c r="M68" i="6"/>
  <c r="K68" i="6"/>
  <c r="H19" i="6"/>
  <c r="M19" i="6"/>
  <c r="H51" i="6"/>
  <c r="K51" i="6" s="1"/>
  <c r="M51" i="6"/>
  <c r="M33" i="6"/>
  <c r="H33" i="6"/>
  <c r="K33" i="6" s="1"/>
  <c r="R13" i="8"/>
  <c r="V14" i="5"/>
  <c r="H7" i="6"/>
  <c r="K7" i="6" s="1"/>
  <c r="M7" i="6"/>
  <c r="H63" i="6"/>
  <c r="K63" i="6" s="1"/>
  <c r="O63" i="6" s="1"/>
  <c r="M63" i="6"/>
  <c r="H91" i="6"/>
  <c r="M91" i="6"/>
  <c r="K91" i="6"/>
  <c r="O91" i="6" s="1"/>
  <c r="H85" i="6"/>
  <c r="M85" i="6"/>
  <c r="H10" i="6"/>
  <c r="M10" i="6"/>
  <c r="H60" i="6"/>
  <c r="K60" i="6" s="1"/>
  <c r="M60" i="6"/>
  <c r="H42" i="6"/>
  <c r="K42" i="6" s="1"/>
  <c r="O42" i="6" s="1"/>
  <c r="M42" i="6"/>
  <c r="R42" i="6" s="1"/>
  <c r="H95" i="6"/>
  <c r="K95" i="6" s="1"/>
  <c r="M95" i="6"/>
  <c r="M73" i="6"/>
  <c r="H73" i="6"/>
  <c r="K73" i="6" s="1"/>
  <c r="H15" i="6"/>
  <c r="K15" i="6" s="1"/>
  <c r="M15" i="6"/>
  <c r="H100" i="6"/>
  <c r="K100" i="6" s="1"/>
  <c r="M100" i="6"/>
  <c r="M77" i="6"/>
  <c r="H77" i="6"/>
  <c r="K77" i="6" s="1"/>
  <c r="O77" i="6" s="1"/>
  <c r="H18" i="6"/>
  <c r="K18" i="6" s="1"/>
  <c r="M18" i="6"/>
  <c r="H52" i="6"/>
  <c r="K52" i="6" s="1"/>
  <c r="O52" i="6" s="1"/>
  <c r="M52" i="6"/>
  <c r="H82" i="6"/>
  <c r="K82" i="6"/>
  <c r="M82" i="6"/>
  <c r="H65" i="6"/>
  <c r="K65" i="6" s="1"/>
  <c r="M65" i="6"/>
  <c r="H22" i="6"/>
  <c r="K22" i="6" s="1"/>
  <c r="M22" i="6"/>
  <c r="H47" i="6"/>
  <c r="K47" i="6" s="1"/>
  <c r="M47" i="6"/>
  <c r="H110" i="6"/>
  <c r="M110" i="6"/>
  <c r="K110" i="6"/>
  <c r="O110" i="6" s="1"/>
  <c r="M43" i="6"/>
  <c r="H43" i="6"/>
  <c r="K43" i="6" s="1"/>
  <c r="H26" i="6"/>
  <c r="K26" i="6"/>
  <c r="O26" i="6" s="1"/>
  <c r="M26" i="6"/>
  <c r="M113" i="6"/>
  <c r="H113" i="6"/>
  <c r="K113" i="6" s="1"/>
  <c r="H13" i="6"/>
  <c r="K13" i="6" s="1"/>
  <c r="M13" i="6"/>
  <c r="H57" i="6"/>
  <c r="M57" i="6"/>
  <c r="H92" i="6"/>
  <c r="K92" i="6" s="1"/>
  <c r="O92" i="6" s="1"/>
  <c r="M92" i="6"/>
  <c r="H38" i="6"/>
  <c r="K38" i="6"/>
  <c r="O38" i="6" s="1"/>
  <c r="M38" i="6"/>
  <c r="H99" i="6"/>
  <c r="K99" i="6" s="1"/>
  <c r="M99" i="6"/>
  <c r="R99" i="6" s="1"/>
  <c r="H86" i="6"/>
  <c r="K86" i="6" s="1"/>
  <c r="M86" i="6"/>
  <c r="M61" i="6"/>
  <c r="H61" i="6"/>
  <c r="K61" i="6" s="1"/>
  <c r="H35" i="6"/>
  <c r="K35" i="6" s="1"/>
  <c r="M35" i="6"/>
  <c r="H103" i="6"/>
  <c r="K103" i="6" s="1"/>
  <c r="M103" i="6"/>
  <c r="H66" i="6"/>
  <c r="K66" i="6" s="1"/>
  <c r="M66" i="6"/>
  <c r="H21" i="6"/>
  <c r="K21" i="6" s="1"/>
  <c r="O21" i="6" s="1"/>
  <c r="M21" i="6"/>
  <c r="H49" i="6"/>
  <c r="K49" i="6" s="1"/>
  <c r="O49" i="6" s="1"/>
  <c r="M49" i="6"/>
  <c r="H31" i="6"/>
  <c r="K31" i="6" s="1"/>
  <c r="M31" i="6"/>
  <c r="H108" i="6"/>
  <c r="M108" i="6"/>
  <c r="H78" i="6"/>
  <c r="K78" i="6" s="1"/>
  <c r="M78" i="6"/>
  <c r="M27" i="6"/>
  <c r="H27" i="6"/>
  <c r="K27" i="6" s="1"/>
  <c r="H112" i="6"/>
  <c r="M112" i="6"/>
  <c r="H12" i="6"/>
  <c r="M12" i="6"/>
  <c r="M93" i="6"/>
  <c r="H93" i="6"/>
  <c r="K93" i="6" s="1"/>
  <c r="O93" i="6" s="1"/>
  <c r="H116" i="6"/>
  <c r="I116" i="6" s="1"/>
  <c r="K116" i="6"/>
  <c r="O116" i="6" s="1"/>
  <c r="M116" i="6"/>
  <c r="I160" i="4"/>
  <c r="V11" i="5"/>
  <c r="B150" i="9"/>
  <c r="B150" i="6"/>
  <c r="AY178" i="3"/>
  <c r="G126" i="6"/>
  <c r="J126" i="6" s="1"/>
  <c r="N126" i="6" s="1"/>
  <c r="F110" i="9"/>
  <c r="G110" i="9" s="1"/>
  <c r="H110" i="9" s="1"/>
  <c r="X111" i="5" s="1"/>
  <c r="F61" i="9"/>
  <c r="G61" i="9" s="1"/>
  <c r="H61" i="9" s="1"/>
  <c r="X62" i="5" s="1"/>
  <c r="G145" i="6"/>
  <c r="J145" i="6" s="1"/>
  <c r="N145" i="6" s="1"/>
  <c r="T145" i="6"/>
  <c r="U145" i="6"/>
  <c r="L81" i="6"/>
  <c r="G81" i="6"/>
  <c r="J81" i="6" s="1"/>
  <c r="N81" i="6" s="1"/>
  <c r="F106" i="6"/>
  <c r="F28" i="6"/>
  <c r="G123" i="9"/>
  <c r="H123" i="9" s="1"/>
  <c r="X124" i="5" s="1"/>
  <c r="G36" i="6"/>
  <c r="J36" i="6" s="1"/>
  <c r="L36" i="6"/>
  <c r="G52" i="6"/>
  <c r="J52" i="6" s="1"/>
  <c r="L52" i="6"/>
  <c r="G152" i="9"/>
  <c r="H152" i="9" s="1"/>
  <c r="X153" i="5" s="1"/>
  <c r="G119" i="6"/>
  <c r="J119" i="6" s="1"/>
  <c r="N119" i="6" s="1"/>
  <c r="P119" i="6" s="1"/>
  <c r="L119" i="6"/>
  <c r="F103" i="9"/>
  <c r="G103" i="9" s="1"/>
  <c r="H103" i="9" s="1"/>
  <c r="X104" i="5" s="1"/>
  <c r="F87" i="9"/>
  <c r="F74" i="6"/>
  <c r="G62" i="6"/>
  <c r="J62" i="6" s="1"/>
  <c r="L62" i="6"/>
  <c r="G42" i="6"/>
  <c r="J42" i="6" s="1"/>
  <c r="L42" i="6"/>
  <c r="G148" i="9"/>
  <c r="H148" i="9" s="1"/>
  <c r="X149" i="5" s="1"/>
  <c r="U132" i="6"/>
  <c r="T132" i="6"/>
  <c r="F80" i="9"/>
  <c r="G80" i="9" s="1"/>
  <c r="H80" i="9" s="1"/>
  <c r="X81" i="5" s="1"/>
  <c r="H45" i="6"/>
  <c r="K45" i="6"/>
  <c r="G23" i="6"/>
  <c r="J23" i="6" s="1"/>
  <c r="L23" i="6"/>
  <c r="G157" i="6"/>
  <c r="J157" i="6" s="1"/>
  <c r="U157" i="6"/>
  <c r="L157" i="6"/>
  <c r="T157" i="6"/>
  <c r="F82" i="9"/>
  <c r="G82" i="9" s="1"/>
  <c r="H82" i="9" s="1"/>
  <c r="X83" i="5" s="1"/>
  <c r="F71" i="9"/>
  <c r="G71" i="9" s="1"/>
  <c r="H71" i="9" s="1"/>
  <c r="X72" i="5" s="1"/>
  <c r="G39" i="9"/>
  <c r="H39" i="9" s="1"/>
  <c r="X40" i="5" s="1"/>
  <c r="L139" i="6"/>
  <c r="G139" i="6"/>
  <c r="U139" i="6"/>
  <c r="T139" i="6"/>
  <c r="G96" i="9"/>
  <c r="H96" i="9" s="1"/>
  <c r="X97" i="5" s="1"/>
  <c r="F76" i="9"/>
  <c r="G76" i="9" s="1"/>
  <c r="H76" i="9" s="1"/>
  <c r="X77" i="5" s="1"/>
  <c r="G59" i="6"/>
  <c r="L59" i="6"/>
  <c r="F17" i="6"/>
  <c r="F116" i="9"/>
  <c r="G116" i="9" s="1"/>
  <c r="H116" i="9" s="1"/>
  <c r="X117" i="5" s="1"/>
  <c r="G99" i="6"/>
  <c r="L99" i="6"/>
  <c r="J99" i="6"/>
  <c r="F78" i="9"/>
  <c r="G78" i="9" s="1"/>
  <c r="H78" i="9" s="1"/>
  <c r="X79" i="5" s="1"/>
  <c r="G35" i="6"/>
  <c r="L35" i="6"/>
  <c r="J35" i="6"/>
  <c r="G140" i="6"/>
  <c r="J140" i="6" s="1"/>
  <c r="L140" i="6"/>
  <c r="G125" i="6"/>
  <c r="L125" i="6"/>
  <c r="U125" i="6"/>
  <c r="T125" i="6"/>
  <c r="L108" i="6"/>
  <c r="G108" i="6"/>
  <c r="J108" i="6" s="1"/>
  <c r="N108" i="6" s="1"/>
  <c r="G54" i="6"/>
  <c r="G31" i="6"/>
  <c r="J31" i="6" s="1"/>
  <c r="N31" i="6" s="1"/>
  <c r="F23" i="6"/>
  <c r="L5" i="6"/>
  <c r="G5" i="6"/>
  <c r="J5" i="6" s="1"/>
  <c r="K143" i="5"/>
  <c r="T143" i="5" s="1"/>
  <c r="AD143" i="5"/>
  <c r="AE143" i="5" s="1"/>
  <c r="F40" i="6"/>
  <c r="L24" i="6"/>
  <c r="G24" i="6"/>
  <c r="J24" i="6" s="1"/>
  <c r="F7" i="9"/>
  <c r="G60" i="6"/>
  <c r="J60" i="6" s="1"/>
  <c r="N60" i="6" s="1"/>
  <c r="L60" i="6"/>
  <c r="G44" i="9"/>
  <c r="H44" i="9" s="1"/>
  <c r="X45" i="5" s="1"/>
  <c r="F13" i="9"/>
  <c r="G13" i="9" s="1"/>
  <c r="H13" i="9" s="1"/>
  <c r="X14" i="5" s="1"/>
  <c r="F26" i="9"/>
  <c r="G26" i="9" s="1"/>
  <c r="H26" i="9" s="1"/>
  <c r="X27" i="5" s="1"/>
  <c r="F11" i="9"/>
  <c r="G11" i="9" s="1"/>
  <c r="H11" i="9" s="1"/>
  <c r="X12" i="5" s="1"/>
  <c r="K155" i="5"/>
  <c r="T155" i="5" s="1"/>
  <c r="AD155" i="5"/>
  <c r="AE155" i="5" s="1"/>
  <c r="N3" i="5"/>
  <c r="N177" i="5" s="1"/>
  <c r="E177" i="5"/>
  <c r="K113" i="5"/>
  <c r="T113" i="5" s="1"/>
  <c r="AD113" i="5"/>
  <c r="AE113" i="5" s="1"/>
  <c r="K126" i="5"/>
  <c r="T126" i="5" s="1"/>
  <c r="AD126" i="5"/>
  <c r="AE126" i="5" s="1"/>
  <c r="K94" i="5"/>
  <c r="T94" i="5" s="1"/>
  <c r="AD94" i="5"/>
  <c r="AE94" i="5" s="1"/>
  <c r="K150" i="5"/>
  <c r="T150" i="5" s="1"/>
  <c r="AD150" i="5"/>
  <c r="AE150" i="5" s="1"/>
  <c r="K111" i="5"/>
  <c r="T111" i="5" s="1"/>
  <c r="AD111" i="5"/>
  <c r="AE111" i="5" s="1"/>
  <c r="K151" i="5"/>
  <c r="T151" i="5" s="1"/>
  <c r="AD151" i="5"/>
  <c r="AE151" i="5" s="1"/>
  <c r="K132" i="5"/>
  <c r="T132" i="5" s="1"/>
  <c r="AD132" i="5"/>
  <c r="AE132" i="5" s="1"/>
  <c r="K60" i="5"/>
  <c r="T60" i="5" s="1"/>
  <c r="AD60" i="5"/>
  <c r="AE60" i="5" s="1"/>
  <c r="K84" i="5"/>
  <c r="T84" i="5" s="1"/>
  <c r="AD84" i="5"/>
  <c r="AE84" i="5" s="1"/>
  <c r="K30" i="5"/>
  <c r="T30" i="5" s="1"/>
  <c r="AD30" i="5"/>
  <c r="AE30" i="5" s="1"/>
  <c r="K23" i="5"/>
  <c r="T23" i="5" s="1"/>
  <c r="AD23" i="5"/>
  <c r="AE23" i="5" s="1"/>
  <c r="K32" i="5"/>
  <c r="T32" i="5" s="1"/>
  <c r="AD32" i="5"/>
  <c r="AE32" i="5" s="1"/>
  <c r="K13" i="5"/>
  <c r="T13" i="5" s="1"/>
  <c r="AD13" i="5"/>
  <c r="AE13" i="5" s="1"/>
  <c r="F25" i="6"/>
  <c r="B107" i="6"/>
  <c r="B107" i="9"/>
  <c r="B165" i="6"/>
  <c r="B165" i="9"/>
  <c r="I27" i="4"/>
  <c r="V28" i="5"/>
  <c r="R27" i="8"/>
  <c r="O9" i="8"/>
  <c r="V48" i="5"/>
  <c r="R47" i="8"/>
  <c r="B110" i="9"/>
  <c r="B110" i="6"/>
  <c r="AX178" i="3"/>
  <c r="G156" i="6"/>
  <c r="J156" i="6"/>
  <c r="N156" i="6" s="1"/>
  <c r="F58" i="6"/>
  <c r="H138" i="6"/>
  <c r="M138" i="6"/>
  <c r="L72" i="6"/>
  <c r="G72" i="6"/>
  <c r="J72" i="6" s="1"/>
  <c r="N72" i="6" s="1"/>
  <c r="F75" i="6"/>
  <c r="T151" i="6"/>
  <c r="U151" i="6"/>
  <c r="G102" i="6"/>
  <c r="L102" i="6"/>
  <c r="J102" i="6"/>
  <c r="F112" i="9"/>
  <c r="G112" i="9" s="1"/>
  <c r="H112" i="9" s="1"/>
  <c r="X113" i="5" s="1"/>
  <c r="F111" i="9"/>
  <c r="G111" i="9" s="1"/>
  <c r="H111" i="9" s="1"/>
  <c r="X112" i="5" s="1"/>
  <c r="F47" i="9"/>
  <c r="G47" i="9" s="1"/>
  <c r="H47" i="9" s="1"/>
  <c r="X48" i="5" s="1"/>
  <c r="G135" i="6"/>
  <c r="L135" i="6"/>
  <c r="U135" i="6"/>
  <c r="T135" i="6"/>
  <c r="H102" i="6"/>
  <c r="K102" i="6"/>
  <c r="F86" i="9"/>
  <c r="G86" i="9" s="1"/>
  <c r="H86" i="9" s="1"/>
  <c r="X87" i="5" s="1"/>
  <c r="F60" i="9"/>
  <c r="G174" i="9"/>
  <c r="H174" i="9" s="1"/>
  <c r="X175" i="5" s="1"/>
  <c r="L147" i="6"/>
  <c r="G147" i="6"/>
  <c r="J147" i="6"/>
  <c r="F95" i="9"/>
  <c r="G95" i="9" s="1"/>
  <c r="H95" i="9" s="1"/>
  <c r="X96" i="5" s="1"/>
  <c r="F79" i="9"/>
  <c r="G79" i="9" s="1"/>
  <c r="H79" i="9" s="1"/>
  <c r="X80" i="5" s="1"/>
  <c r="F44" i="6"/>
  <c r="G155" i="9"/>
  <c r="H155" i="9" s="1"/>
  <c r="X156" i="5" s="1"/>
  <c r="F107" i="6"/>
  <c r="G94" i="6"/>
  <c r="L94" i="6"/>
  <c r="G81" i="9"/>
  <c r="H81" i="9" s="1"/>
  <c r="X82" i="5" s="1"/>
  <c r="F53" i="6"/>
  <c r="F35" i="9"/>
  <c r="G138" i="6"/>
  <c r="J138" i="6" s="1"/>
  <c r="L138" i="6"/>
  <c r="T138" i="6"/>
  <c r="U138" i="6"/>
  <c r="G122" i="6"/>
  <c r="J122" i="6" s="1"/>
  <c r="N122" i="6" s="1"/>
  <c r="P122" i="6" s="1"/>
  <c r="T122" i="6"/>
  <c r="U122" i="6"/>
  <c r="H109" i="6"/>
  <c r="M109" i="6"/>
  <c r="K109" i="6"/>
  <c r="G76" i="6"/>
  <c r="J76" i="6" s="1"/>
  <c r="N76" i="6" s="1"/>
  <c r="L76" i="6"/>
  <c r="F56" i="6"/>
  <c r="F39" i="6"/>
  <c r="G154" i="6"/>
  <c r="F115" i="6"/>
  <c r="F77" i="9"/>
  <c r="G77" i="9" s="1"/>
  <c r="H77" i="9" s="1"/>
  <c r="X78" i="5" s="1"/>
  <c r="G124" i="6"/>
  <c r="J124" i="6" s="1"/>
  <c r="U124" i="6"/>
  <c r="T124" i="6"/>
  <c r="F105" i="6"/>
  <c r="F81" i="6"/>
  <c r="F69" i="6"/>
  <c r="G51" i="6"/>
  <c r="J51" i="6" s="1"/>
  <c r="L51" i="6"/>
  <c r="F14" i="6"/>
  <c r="G165" i="9"/>
  <c r="H165" i="9" s="1"/>
  <c r="F3" i="6"/>
  <c r="F10" i="9"/>
  <c r="F52" i="9"/>
  <c r="G52" i="9" s="1"/>
  <c r="H52" i="9" s="1"/>
  <c r="X53" i="5" s="1"/>
  <c r="F22" i="9"/>
  <c r="F4" i="6"/>
  <c r="F57" i="9"/>
  <c r="G57" i="9" s="1"/>
  <c r="H57" i="9" s="1"/>
  <c r="X58" i="5" s="1"/>
  <c r="G25" i="6"/>
  <c r="J25" i="6" s="1"/>
  <c r="L25" i="6"/>
  <c r="G174" i="6"/>
  <c r="J174" i="6" s="1"/>
  <c r="G11" i="6"/>
  <c r="J11" i="6" s="1"/>
  <c r="K136" i="5"/>
  <c r="T136" i="5" s="1"/>
  <c r="AD136" i="5"/>
  <c r="AE136" i="5" s="1"/>
  <c r="K119" i="5"/>
  <c r="T119" i="5" s="1"/>
  <c r="AD119" i="5"/>
  <c r="AE119" i="5" s="1"/>
  <c r="K139" i="5"/>
  <c r="T139" i="5" s="1"/>
  <c r="AD139" i="5"/>
  <c r="AE139" i="5" s="1"/>
  <c r="K106" i="5"/>
  <c r="T106" i="5" s="1"/>
  <c r="AD106" i="5"/>
  <c r="AE106" i="5" s="1"/>
  <c r="K124" i="5"/>
  <c r="T124" i="5" s="1"/>
  <c r="AD124" i="5"/>
  <c r="AE124" i="5" s="1"/>
  <c r="K141" i="5"/>
  <c r="T141" i="5" s="1"/>
  <c r="AD141" i="5"/>
  <c r="AE141" i="5" s="1"/>
  <c r="K142" i="5"/>
  <c r="T142" i="5" s="1"/>
  <c r="AD142" i="5"/>
  <c r="AE142" i="5" s="1"/>
  <c r="K110" i="5"/>
  <c r="T110" i="5" s="1"/>
  <c r="AD110" i="5"/>
  <c r="AE110" i="5" s="1"/>
  <c r="K129" i="5"/>
  <c r="T129" i="5" s="1"/>
  <c r="AD129" i="5"/>
  <c r="AE129" i="5" s="1"/>
  <c r="K116" i="5"/>
  <c r="T116" i="5" s="1"/>
  <c r="AD116" i="5"/>
  <c r="AE116" i="5" s="1"/>
  <c r="K108" i="5"/>
  <c r="T108" i="5" s="1"/>
  <c r="AD108" i="5"/>
  <c r="AE108" i="5" s="1"/>
  <c r="K58" i="5"/>
  <c r="T58" i="5" s="1"/>
  <c r="AD58" i="5"/>
  <c r="AE58" i="5" s="1"/>
  <c r="K77" i="5"/>
  <c r="T77" i="5" s="1"/>
  <c r="AD77" i="5"/>
  <c r="AE77" i="5" s="1"/>
  <c r="K99" i="5"/>
  <c r="T99" i="5" s="1"/>
  <c r="AD99" i="5"/>
  <c r="AE99" i="5" s="1"/>
  <c r="K80" i="5"/>
  <c r="T80" i="5" s="1"/>
  <c r="AD80" i="5"/>
  <c r="AE80" i="5" s="1"/>
  <c r="K52" i="5"/>
  <c r="T52" i="5" s="1"/>
  <c r="AD52" i="5"/>
  <c r="AE52" i="5" s="1"/>
  <c r="K62" i="5"/>
  <c r="T62" i="5" s="1"/>
  <c r="AD62" i="5"/>
  <c r="AE62" i="5" s="1"/>
  <c r="K14" i="5"/>
  <c r="T14" i="5" s="1"/>
  <c r="AD14" i="5"/>
  <c r="AE14" i="5" s="1"/>
  <c r="K29" i="5"/>
  <c r="T29" i="5" s="1"/>
  <c r="AD29" i="5"/>
  <c r="AE29" i="5" s="1"/>
  <c r="K22" i="5"/>
  <c r="T22" i="5" s="1"/>
  <c r="AD22" i="5"/>
  <c r="AE22" i="5" s="1"/>
  <c r="K17" i="5"/>
  <c r="T17" i="5" s="1"/>
  <c r="AD17" i="5"/>
  <c r="AE17" i="5" s="1"/>
  <c r="K28" i="5"/>
  <c r="T28" i="5" s="1"/>
  <c r="AD28" i="5"/>
  <c r="AE28" i="5" s="1"/>
  <c r="K12" i="5"/>
  <c r="T12" i="5" s="1"/>
  <c r="AD12" i="5"/>
  <c r="AE12" i="5" s="1"/>
  <c r="F65" i="9"/>
  <c r="G65" i="9" s="1"/>
  <c r="H65" i="9" s="1"/>
  <c r="X66" i="5" s="1"/>
  <c r="F50" i="9"/>
  <c r="B11" i="6"/>
  <c r="B11" i="9"/>
  <c r="B67" i="6"/>
  <c r="B67" i="9"/>
  <c r="B139" i="6"/>
  <c r="B139" i="9"/>
  <c r="I100" i="4"/>
  <c r="B78" i="9"/>
  <c r="B78" i="6"/>
  <c r="G34" i="9"/>
  <c r="H34" i="9" s="1"/>
  <c r="X35" i="5" s="1"/>
  <c r="BJ178" i="3"/>
  <c r="BJ179" i="3" s="1"/>
  <c r="G96" i="6"/>
  <c r="L96" i="6"/>
  <c r="G50" i="9"/>
  <c r="H50" i="9" s="1"/>
  <c r="X51" i="5" s="1"/>
  <c r="G53" i="9"/>
  <c r="H53" i="9" s="1"/>
  <c r="X54" i="5" s="1"/>
  <c r="H147" i="6"/>
  <c r="K147" i="6"/>
  <c r="L90" i="6"/>
  <c r="G90" i="6"/>
  <c r="J90" i="6"/>
  <c r="G105" i="6"/>
  <c r="J105" i="6" s="1"/>
  <c r="L105" i="6"/>
  <c r="F108" i="9"/>
  <c r="G108" i="9" s="1"/>
  <c r="H108" i="9" s="1"/>
  <c r="X109" i="5" s="1"/>
  <c r="G100" i="6"/>
  <c r="L100" i="6"/>
  <c r="F84" i="9"/>
  <c r="G84" i="9" s="1"/>
  <c r="H84" i="9" s="1"/>
  <c r="X85" i="5" s="1"/>
  <c r="G70" i="6"/>
  <c r="L70" i="6"/>
  <c r="J70" i="6"/>
  <c r="N70" i="6" s="1"/>
  <c r="F59" i="9"/>
  <c r="F37" i="6"/>
  <c r="F91" i="9"/>
  <c r="G91" i="9" s="1"/>
  <c r="H91" i="9" s="1"/>
  <c r="X92" i="5" s="1"/>
  <c r="L79" i="6"/>
  <c r="G79" i="6"/>
  <c r="J79" i="6" s="1"/>
  <c r="N79" i="6" s="1"/>
  <c r="F63" i="9"/>
  <c r="L43" i="6"/>
  <c r="G43" i="6"/>
  <c r="J43" i="6" s="1"/>
  <c r="F19" i="9"/>
  <c r="M124" i="6"/>
  <c r="H124" i="6"/>
  <c r="G93" i="6"/>
  <c r="J93" i="6" s="1"/>
  <c r="L93" i="6"/>
  <c r="F68" i="9"/>
  <c r="G68" i="9" s="1"/>
  <c r="H68" i="9" s="1"/>
  <c r="X69" i="5" s="1"/>
  <c r="F51" i="9"/>
  <c r="G51" i="9" s="1"/>
  <c r="H51" i="9" s="1"/>
  <c r="X52" i="5" s="1"/>
  <c r="F33" i="9"/>
  <c r="G33" i="9" s="1"/>
  <c r="H33" i="9" s="1"/>
  <c r="X34" i="5" s="1"/>
  <c r="G148" i="6"/>
  <c r="J148" i="6" s="1"/>
  <c r="N148" i="6" s="1"/>
  <c r="U148" i="6"/>
  <c r="F55" i="6"/>
  <c r="G153" i="6"/>
  <c r="J153" i="6" s="1"/>
  <c r="N153" i="6" s="1"/>
  <c r="L153" i="6"/>
  <c r="T153" i="6"/>
  <c r="U153" i="6"/>
  <c r="F114" i="6"/>
  <c r="G95" i="6"/>
  <c r="L95" i="6"/>
  <c r="F49" i="9"/>
  <c r="G49" i="9" s="1"/>
  <c r="H49" i="9" s="1"/>
  <c r="X50" i="5" s="1"/>
  <c r="F29" i="6"/>
  <c r="G121" i="9"/>
  <c r="H121" i="9" s="1"/>
  <c r="X122" i="5" s="1"/>
  <c r="F67" i="6"/>
  <c r="G10" i="9"/>
  <c r="H10" i="9" s="1"/>
  <c r="X11" i="5" s="1"/>
  <c r="F18" i="9"/>
  <c r="G161" i="6"/>
  <c r="L161" i="6"/>
  <c r="G9" i="6"/>
  <c r="J9" i="6" s="1"/>
  <c r="L9" i="6"/>
  <c r="F6" i="6"/>
  <c r="G35" i="9"/>
  <c r="H35" i="9" s="1"/>
  <c r="X36" i="5" s="1"/>
  <c r="F20" i="9"/>
  <c r="G20" i="9" s="1"/>
  <c r="H20" i="9" s="1"/>
  <c r="X21" i="5" s="1"/>
  <c r="F54" i="9"/>
  <c r="G41" i="9"/>
  <c r="H41" i="9" s="1"/>
  <c r="X42" i="5" s="1"/>
  <c r="G22" i="9"/>
  <c r="H22" i="9" s="1"/>
  <c r="X23" i="5" s="1"/>
  <c r="G10" i="6"/>
  <c r="J10" i="6" s="1"/>
  <c r="L10" i="6"/>
  <c r="F12" i="9"/>
  <c r="G12" i="9" s="1"/>
  <c r="H12" i="9" s="1"/>
  <c r="X13" i="5" s="1"/>
  <c r="K175" i="5"/>
  <c r="T175" i="5" s="1"/>
  <c r="AD175" i="5"/>
  <c r="AE175" i="5" s="1"/>
  <c r="K173" i="5"/>
  <c r="T173" i="5" s="1"/>
  <c r="AD173" i="5"/>
  <c r="AE173" i="5" s="1"/>
  <c r="K147" i="5"/>
  <c r="T147" i="5" s="1"/>
  <c r="AD147" i="5"/>
  <c r="AE147" i="5" s="1"/>
  <c r="K104" i="5"/>
  <c r="T104" i="5" s="1"/>
  <c r="AD104" i="5"/>
  <c r="AE104" i="5" s="1"/>
  <c r="K109" i="5"/>
  <c r="T109" i="5" s="1"/>
  <c r="AD109" i="5"/>
  <c r="AE109" i="5" s="1"/>
  <c r="K163" i="5"/>
  <c r="T163" i="5" s="1"/>
  <c r="AD163" i="5"/>
  <c r="AE163" i="5" s="1"/>
  <c r="K95" i="5"/>
  <c r="T95" i="5" s="1"/>
  <c r="AD95" i="5"/>
  <c r="AE95" i="5" s="1"/>
  <c r="K154" i="5"/>
  <c r="T154" i="5" s="1"/>
  <c r="AD154" i="5"/>
  <c r="AE154" i="5" s="1"/>
  <c r="K125" i="5"/>
  <c r="T125" i="5" s="1"/>
  <c r="AD125" i="5"/>
  <c r="AE125" i="5" s="1"/>
  <c r="K65" i="5"/>
  <c r="T65" i="5" s="1"/>
  <c r="AD65" i="5"/>
  <c r="AE65" i="5" s="1"/>
  <c r="K115" i="5"/>
  <c r="T115" i="5" s="1"/>
  <c r="AD115" i="5"/>
  <c r="AE115" i="5" s="1"/>
  <c r="K89" i="5"/>
  <c r="T89" i="5" s="1"/>
  <c r="AD89" i="5"/>
  <c r="AE89" i="5" s="1"/>
  <c r="K85" i="5"/>
  <c r="T85" i="5" s="1"/>
  <c r="AD85" i="5"/>
  <c r="AE85" i="5" s="1"/>
  <c r="K54" i="5"/>
  <c r="T54" i="5" s="1"/>
  <c r="AD54" i="5"/>
  <c r="AE54" i="5" s="1"/>
  <c r="K75" i="5"/>
  <c r="T75" i="5" s="1"/>
  <c r="AD75" i="5"/>
  <c r="AE75" i="5" s="1"/>
  <c r="K47" i="5"/>
  <c r="T47" i="5" s="1"/>
  <c r="AD47" i="5"/>
  <c r="AE47" i="5" s="1"/>
  <c r="K98" i="5"/>
  <c r="T98" i="5" s="1"/>
  <c r="AD98" i="5"/>
  <c r="AE98" i="5" s="1"/>
  <c r="K86" i="5"/>
  <c r="T86" i="5" s="1"/>
  <c r="AD86" i="5"/>
  <c r="AE86" i="5" s="1"/>
  <c r="K51" i="5"/>
  <c r="T51" i="5" s="1"/>
  <c r="AD51" i="5"/>
  <c r="AE51" i="5" s="1"/>
  <c r="K45" i="5"/>
  <c r="T45" i="5" s="1"/>
  <c r="AD45" i="5"/>
  <c r="AE45" i="5" s="1"/>
  <c r="K49" i="5"/>
  <c r="T49" i="5" s="1"/>
  <c r="AD49" i="5"/>
  <c r="AE49" i="5" s="1"/>
  <c r="K25" i="5"/>
  <c r="T25" i="5" s="1"/>
  <c r="AD25" i="5"/>
  <c r="AE25" i="5" s="1"/>
  <c r="K21" i="5"/>
  <c r="T21" i="5" s="1"/>
  <c r="AD21" i="5"/>
  <c r="AE21" i="5" s="1"/>
  <c r="K8" i="5"/>
  <c r="T8" i="5" s="1"/>
  <c r="AD8" i="5"/>
  <c r="AE8" i="5" s="1"/>
  <c r="K11" i="5"/>
  <c r="T11" i="5" s="1"/>
  <c r="AD11" i="5"/>
  <c r="AE11" i="5" s="1"/>
  <c r="B167" i="9"/>
  <c r="B167" i="6"/>
  <c r="F21" i="9"/>
  <c r="G21" i="9" s="1"/>
  <c r="H21" i="9" s="1"/>
  <c r="X22" i="5" s="1"/>
  <c r="B91" i="9"/>
  <c r="B91" i="6"/>
  <c r="B168" i="9"/>
  <c r="B168" i="6"/>
  <c r="O42" i="8"/>
  <c r="V113" i="5"/>
  <c r="R112" i="8"/>
  <c r="Q177" i="5"/>
  <c r="B121" i="9"/>
  <c r="B121" i="6"/>
  <c r="G46" i="6"/>
  <c r="J46" i="6" s="1"/>
  <c r="G142" i="6"/>
  <c r="J142" i="6" s="1"/>
  <c r="N142" i="6" s="1"/>
  <c r="T142" i="6"/>
  <c r="F99" i="9"/>
  <c r="G99" i="9" s="1"/>
  <c r="H99" i="9" s="1"/>
  <c r="X100" i="5" s="1"/>
  <c r="F38" i="9"/>
  <c r="G38" i="9" s="1"/>
  <c r="H38" i="9" s="1"/>
  <c r="X39" i="5" s="1"/>
  <c r="G124" i="9"/>
  <c r="H124" i="9" s="1"/>
  <c r="X125" i="5" s="1"/>
  <c r="G60" i="9"/>
  <c r="H60" i="9" s="1"/>
  <c r="X61" i="5" s="1"/>
  <c r="F113" i="9"/>
  <c r="G113" i="9" s="1"/>
  <c r="H113" i="9" s="1"/>
  <c r="X114" i="5" s="1"/>
  <c r="G49" i="6"/>
  <c r="J49" i="6" s="1"/>
  <c r="L49" i="6"/>
  <c r="M157" i="6"/>
  <c r="H157" i="6"/>
  <c r="G97" i="6"/>
  <c r="J97" i="6" s="1"/>
  <c r="L97" i="6"/>
  <c r="L150" i="6"/>
  <c r="G150" i="6"/>
  <c r="J150" i="6" s="1"/>
  <c r="N150" i="6" s="1"/>
  <c r="T150" i="6"/>
  <c r="U150" i="6"/>
  <c r="G101" i="6"/>
  <c r="J101" i="6" s="1"/>
  <c r="L130" i="6"/>
  <c r="G130" i="6"/>
  <c r="J130" i="6" s="1"/>
  <c r="N130" i="6" s="1"/>
  <c r="P130" i="6" s="1"/>
  <c r="T130" i="6"/>
  <c r="U130" i="6"/>
  <c r="G114" i="6"/>
  <c r="J114" i="6" s="1"/>
  <c r="L114" i="6"/>
  <c r="G83" i="9"/>
  <c r="H83" i="9" s="1"/>
  <c r="X84" i="5" s="1"/>
  <c r="G68" i="6"/>
  <c r="J68" i="6" s="1"/>
  <c r="L68" i="6"/>
  <c r="F36" i="6"/>
  <c r="H143" i="6"/>
  <c r="M143" i="6"/>
  <c r="G77" i="6"/>
  <c r="J77" i="6" s="1"/>
  <c r="G63" i="6"/>
  <c r="J63" i="6" s="1"/>
  <c r="N63" i="6" s="1"/>
  <c r="L63" i="6"/>
  <c r="L152" i="6"/>
  <c r="G152" i="6"/>
  <c r="G137" i="6"/>
  <c r="J137" i="6" s="1"/>
  <c r="N137" i="6" s="1"/>
  <c r="T137" i="6"/>
  <c r="U137" i="6"/>
  <c r="G120" i="9"/>
  <c r="H120" i="9" s="1"/>
  <c r="X121" i="5" s="1"/>
  <c r="G103" i="6"/>
  <c r="J103" i="6" s="1"/>
  <c r="L103" i="6"/>
  <c r="G67" i="9"/>
  <c r="H67" i="9" s="1"/>
  <c r="X68" i="5" s="1"/>
  <c r="G50" i="6"/>
  <c r="J50" i="6" s="1"/>
  <c r="L50" i="6"/>
  <c r="L133" i="6"/>
  <c r="G133" i="6"/>
  <c r="U133" i="6"/>
  <c r="J133" i="6"/>
  <c r="T133" i="6"/>
  <c r="F89" i="6"/>
  <c r="G107" i="6"/>
  <c r="J107" i="6" s="1"/>
  <c r="L107" i="6"/>
  <c r="F93" i="9"/>
  <c r="F48" i="6"/>
  <c r="M24" i="6"/>
  <c r="H24" i="6"/>
  <c r="K24" i="6"/>
  <c r="M120" i="6"/>
  <c r="H120" i="6"/>
  <c r="F97" i="6"/>
  <c r="G65" i="6"/>
  <c r="J65" i="6" s="1"/>
  <c r="L65" i="6"/>
  <c r="G48" i="6"/>
  <c r="J48" i="6" s="1"/>
  <c r="L48" i="6"/>
  <c r="G17" i="6"/>
  <c r="J17" i="6" s="1"/>
  <c r="L17" i="6"/>
  <c r="G8" i="6"/>
  <c r="J8" i="6" s="1"/>
  <c r="L8" i="6"/>
  <c r="F5" i="6"/>
  <c r="G45" i="9"/>
  <c r="H45" i="9" s="1"/>
  <c r="X46" i="5" s="1"/>
  <c r="F34" i="6"/>
  <c r="G21" i="6"/>
  <c r="J21" i="6" s="1"/>
  <c r="L21" i="6"/>
  <c r="G2" i="6"/>
  <c r="L2" i="6"/>
  <c r="J168" i="6"/>
  <c r="L168" i="6"/>
  <c r="G168" i="6"/>
  <c r="J170" i="6"/>
  <c r="G170" i="6"/>
  <c r="Q170" i="6" s="1"/>
  <c r="S170" i="6" s="1"/>
  <c r="V170" i="6" s="1"/>
  <c r="W171" i="5" s="1"/>
  <c r="K149" i="5"/>
  <c r="T149" i="5" s="1"/>
  <c r="AD149" i="5"/>
  <c r="AE149" i="5" s="1"/>
  <c r="K148" i="5"/>
  <c r="T148" i="5" s="1"/>
  <c r="AD148" i="5"/>
  <c r="AE148" i="5" s="1"/>
  <c r="K168" i="5"/>
  <c r="T168" i="5" s="1"/>
  <c r="AD168" i="5"/>
  <c r="AE168" i="5" s="1"/>
  <c r="K144" i="5"/>
  <c r="T144" i="5" s="1"/>
  <c r="AD144" i="5"/>
  <c r="AE144" i="5" s="1"/>
  <c r="K161" i="5"/>
  <c r="T161" i="5" s="1"/>
  <c r="AD161" i="5"/>
  <c r="AE161" i="5" s="1"/>
  <c r="K133" i="5"/>
  <c r="T133" i="5" s="1"/>
  <c r="AD133" i="5"/>
  <c r="AE133" i="5" s="1"/>
  <c r="K165" i="5"/>
  <c r="T165" i="5" s="1"/>
  <c r="AD165" i="5"/>
  <c r="AE165" i="5" s="1"/>
  <c r="K137" i="5"/>
  <c r="T137" i="5" s="1"/>
  <c r="AD137" i="5"/>
  <c r="AE137" i="5" s="1"/>
  <c r="K102" i="5"/>
  <c r="T102" i="5" s="1"/>
  <c r="AD102" i="5"/>
  <c r="AE102" i="5" s="1"/>
  <c r="K97" i="5"/>
  <c r="T97" i="5" s="1"/>
  <c r="AD97" i="5"/>
  <c r="AE97" i="5" s="1"/>
  <c r="K120" i="5"/>
  <c r="T120" i="5" s="1"/>
  <c r="AD120" i="5"/>
  <c r="AE120" i="5" s="1"/>
  <c r="K48" i="5"/>
  <c r="T48" i="5" s="1"/>
  <c r="AD48" i="5"/>
  <c r="AE48" i="5" s="1"/>
  <c r="K74" i="5"/>
  <c r="T74" i="5" s="1"/>
  <c r="AD74" i="5"/>
  <c r="AE74" i="5" s="1"/>
  <c r="K20" i="5"/>
  <c r="T20" i="5" s="1"/>
  <c r="AD20" i="5"/>
  <c r="AE20" i="5" s="1"/>
  <c r="K83" i="5"/>
  <c r="T83" i="5" s="1"/>
  <c r="AD83" i="5"/>
  <c r="AE83" i="5" s="1"/>
  <c r="K67" i="5"/>
  <c r="T67" i="5" s="1"/>
  <c r="AD67" i="5"/>
  <c r="AE67" i="5" s="1"/>
  <c r="K46" i="5"/>
  <c r="T46" i="5" s="1"/>
  <c r="AD46" i="5"/>
  <c r="AE46" i="5" s="1"/>
  <c r="K42" i="5"/>
  <c r="T42" i="5" s="1"/>
  <c r="AD42" i="5"/>
  <c r="AE42" i="5" s="1"/>
  <c r="K9" i="5"/>
  <c r="T9" i="5" s="1"/>
  <c r="AD9" i="5"/>
  <c r="AE9" i="5" s="1"/>
  <c r="K24" i="5"/>
  <c r="T24" i="5" s="1"/>
  <c r="AD24" i="5"/>
  <c r="AE24" i="5" s="1"/>
  <c r="K27" i="5"/>
  <c r="T27" i="5" s="1"/>
  <c r="AD27" i="5"/>
  <c r="AE27" i="5" s="1"/>
  <c r="K19" i="5"/>
  <c r="T19" i="5" s="1"/>
  <c r="AD19" i="5"/>
  <c r="AE19" i="5" s="1"/>
  <c r="L115" i="6"/>
  <c r="G115" i="6"/>
  <c r="J115" i="6" s="1"/>
  <c r="N115" i="6" s="1"/>
  <c r="G54" i="9"/>
  <c r="H54" i="9" s="1"/>
  <c r="X55" i="5" s="1"/>
  <c r="B19" i="6"/>
  <c r="B19" i="9"/>
  <c r="B43" i="6"/>
  <c r="B43" i="9"/>
  <c r="B123" i="6"/>
  <c r="B123" i="9"/>
  <c r="BR178" i="3"/>
  <c r="I126" i="6"/>
  <c r="G4" i="12"/>
  <c r="G8" i="12"/>
  <c r="G12" i="12"/>
  <c r="G16" i="12"/>
  <c r="G20" i="12"/>
  <c r="G24" i="12"/>
  <c r="G28" i="12"/>
  <c r="G32" i="12"/>
  <c r="G36" i="12"/>
  <c r="G40" i="12"/>
  <c r="G44" i="12"/>
  <c r="G48" i="12"/>
  <c r="G52" i="12"/>
  <c r="G56" i="12"/>
  <c r="G60" i="12"/>
  <c r="G64" i="12"/>
  <c r="G68" i="12"/>
  <c r="G72" i="12"/>
  <c r="G76" i="12"/>
  <c r="G80" i="12"/>
  <c r="G84" i="12"/>
  <c r="G88" i="12"/>
  <c r="G92" i="12"/>
  <c r="G96" i="12"/>
  <c r="G100" i="12"/>
  <c r="G104" i="12"/>
  <c r="G108" i="12"/>
  <c r="G112" i="12"/>
  <c r="G116" i="12"/>
  <c r="G120" i="12"/>
  <c r="G124" i="12"/>
  <c r="G5" i="12"/>
  <c r="G9" i="12"/>
  <c r="G13" i="12"/>
  <c r="G17" i="12"/>
  <c r="G21" i="12"/>
  <c r="G25" i="12"/>
  <c r="G29" i="12"/>
  <c r="G33" i="12"/>
  <c r="G37" i="12"/>
  <c r="G41" i="12"/>
  <c r="G45" i="12"/>
  <c r="G49" i="12"/>
  <c r="G53" i="12"/>
  <c r="G57" i="12"/>
  <c r="G61" i="12"/>
  <c r="G65" i="12"/>
  <c r="G69" i="12"/>
  <c r="G73" i="12"/>
  <c r="G77" i="12"/>
  <c r="G81" i="12"/>
  <c r="G85" i="12"/>
  <c r="G89" i="12"/>
  <c r="G93" i="12"/>
  <c r="G97" i="12"/>
  <c r="G101" i="12"/>
  <c r="G105" i="12"/>
  <c r="G109" i="12"/>
  <c r="G113" i="12"/>
  <c r="G117" i="12"/>
  <c r="G121" i="12"/>
  <c r="G125" i="12"/>
  <c r="G129" i="12"/>
  <c r="G133" i="12"/>
  <c r="G19" i="12"/>
  <c r="G26" i="12"/>
  <c r="G51" i="12"/>
  <c r="G58" i="12"/>
  <c r="G83" i="12"/>
  <c r="G90" i="12"/>
  <c r="G115" i="12"/>
  <c r="G122" i="12"/>
  <c r="G132" i="12"/>
  <c r="G7" i="12"/>
  <c r="G14" i="12"/>
  <c r="G39" i="12"/>
  <c r="G46" i="12"/>
  <c r="G71" i="12"/>
  <c r="G78" i="12"/>
  <c r="G103" i="12"/>
  <c r="G110" i="12"/>
  <c r="G128" i="12"/>
  <c r="G137" i="12"/>
  <c r="G141" i="12"/>
  <c r="G145" i="12"/>
  <c r="G149" i="12"/>
  <c r="G153" i="12"/>
  <c r="G157" i="12"/>
  <c r="G161" i="12"/>
  <c r="G165" i="12"/>
  <c r="G169" i="12"/>
  <c r="G173" i="12"/>
  <c r="G27" i="12"/>
  <c r="G34" i="12"/>
  <c r="G59" i="12"/>
  <c r="G66" i="12"/>
  <c r="G91" i="12"/>
  <c r="G98" i="12"/>
  <c r="G123" i="12"/>
  <c r="G15" i="12"/>
  <c r="G22" i="12"/>
  <c r="G47" i="12"/>
  <c r="G54" i="12"/>
  <c r="G79" i="12"/>
  <c r="G86" i="12"/>
  <c r="G111" i="12"/>
  <c r="G118" i="12"/>
  <c r="G134" i="12"/>
  <c r="G138" i="12"/>
  <c r="G142" i="12"/>
  <c r="G146" i="12"/>
  <c r="G150" i="12"/>
  <c r="G154" i="12"/>
  <c r="G158" i="12"/>
  <c r="G162" i="12"/>
  <c r="G166" i="12"/>
  <c r="G170" i="12"/>
  <c r="G174" i="12"/>
  <c r="G3" i="12"/>
  <c r="G10" i="12"/>
  <c r="G35" i="12"/>
  <c r="G42" i="12"/>
  <c r="G67" i="12"/>
  <c r="G74" i="12"/>
  <c r="G99" i="12"/>
  <c r="G106" i="12"/>
  <c r="G130" i="12"/>
  <c r="G23" i="12"/>
  <c r="G30" i="12"/>
  <c r="G55" i="12"/>
  <c r="G62" i="12"/>
  <c r="G87" i="12"/>
  <c r="G94" i="12"/>
  <c r="G119" i="12"/>
  <c r="G126" i="12"/>
  <c r="G135" i="12"/>
  <c r="G139" i="12"/>
  <c r="G143" i="12"/>
  <c r="G147" i="12"/>
  <c r="G151" i="12"/>
  <c r="G155" i="12"/>
  <c r="G159" i="12"/>
  <c r="G163" i="12"/>
  <c r="G167" i="12"/>
  <c r="G171" i="12"/>
  <c r="G175" i="12"/>
  <c r="G11" i="12"/>
  <c r="G18" i="12"/>
  <c r="G43" i="12"/>
  <c r="G50" i="12"/>
  <c r="G75" i="12"/>
  <c r="G82" i="12"/>
  <c r="G107" i="12"/>
  <c r="G114" i="12"/>
  <c r="G131" i="12"/>
  <c r="G95" i="12"/>
  <c r="G140" i="12"/>
  <c r="G172" i="12"/>
  <c r="G102" i="12"/>
  <c r="G144" i="12"/>
  <c r="G6" i="12"/>
  <c r="G148" i="12"/>
  <c r="G63" i="12"/>
  <c r="G152" i="12"/>
  <c r="G70" i="12"/>
  <c r="G156" i="12"/>
  <c r="G127" i="12"/>
  <c r="G160" i="12"/>
  <c r="G31" i="12"/>
  <c r="G164" i="12"/>
  <c r="G38" i="12"/>
  <c r="G136" i="12"/>
  <c r="G168" i="12"/>
  <c r="V92" i="5"/>
  <c r="R91" i="8"/>
  <c r="V27" i="5"/>
  <c r="B89" i="9"/>
  <c r="B89" i="6"/>
  <c r="B137" i="9"/>
  <c r="B137" i="6"/>
  <c r="BA178" i="3"/>
  <c r="F85" i="9"/>
  <c r="G85" i="9" s="1"/>
  <c r="H85" i="9" s="1"/>
  <c r="X86" i="5" s="1"/>
  <c r="H132" i="6"/>
  <c r="M132" i="6"/>
  <c r="G87" i="9"/>
  <c r="H87" i="9" s="1"/>
  <c r="X88" i="5" s="1"/>
  <c r="G40" i="6"/>
  <c r="J40" i="6" s="1"/>
  <c r="L40" i="6"/>
  <c r="L131" i="6"/>
  <c r="G131" i="6"/>
  <c r="J131" i="6"/>
  <c r="T131" i="6"/>
  <c r="U131" i="6"/>
  <c r="F83" i="6"/>
  <c r="G139" i="9"/>
  <c r="H139" i="9" s="1"/>
  <c r="X140" i="5" s="1"/>
  <c r="G113" i="6"/>
  <c r="L113" i="6"/>
  <c r="F94" i="9"/>
  <c r="G94" i="9" s="1"/>
  <c r="H94" i="9" s="1"/>
  <c r="X95" i="5" s="1"/>
  <c r="G82" i="6"/>
  <c r="J82" i="6" s="1"/>
  <c r="L82" i="6"/>
  <c r="G106" i="6"/>
  <c r="J106" i="6" s="1"/>
  <c r="L106" i="6"/>
  <c r="F72" i="9"/>
  <c r="G72" i="9" s="1"/>
  <c r="H72" i="9" s="1"/>
  <c r="X73" i="5" s="1"/>
  <c r="F101" i="9"/>
  <c r="G101" i="9" s="1"/>
  <c r="H101" i="9" s="1"/>
  <c r="X102" i="5" s="1"/>
  <c r="G89" i="9"/>
  <c r="H89" i="9" s="1"/>
  <c r="X90" i="5" s="1"/>
  <c r="L78" i="6"/>
  <c r="G78" i="6"/>
  <c r="J78" i="6" s="1"/>
  <c r="G63" i="9"/>
  <c r="H63" i="9" s="1"/>
  <c r="X64" i="5" s="1"/>
  <c r="G118" i="6"/>
  <c r="J118" i="6" s="1"/>
  <c r="U118" i="6"/>
  <c r="T118" i="6"/>
  <c r="L118" i="6"/>
  <c r="F104" i="6"/>
  <c r="G88" i="6"/>
  <c r="J88" i="6" s="1"/>
  <c r="L88" i="6"/>
  <c r="G53" i="6"/>
  <c r="J53" i="6" s="1"/>
  <c r="L53" i="6"/>
  <c r="F31" i="9"/>
  <c r="G31" i="9" s="1"/>
  <c r="H31" i="9" s="1"/>
  <c r="X32" i="5" s="1"/>
  <c r="M150" i="6"/>
  <c r="H150" i="6"/>
  <c r="O150" i="6" s="1"/>
  <c r="F92" i="9"/>
  <c r="G92" i="9" s="1"/>
  <c r="H92" i="9" s="1"/>
  <c r="X93" i="5" s="1"/>
  <c r="F70" i="6"/>
  <c r="F46" i="6"/>
  <c r="G18" i="9"/>
  <c r="H18" i="9" s="1"/>
  <c r="X19" i="5" s="1"/>
  <c r="L149" i="6"/>
  <c r="G149" i="6"/>
  <c r="J149" i="6"/>
  <c r="N149" i="6" s="1"/>
  <c r="G134" i="6"/>
  <c r="I134" i="6" s="1"/>
  <c r="L134" i="6"/>
  <c r="U134" i="6"/>
  <c r="J134" i="6"/>
  <c r="T134" i="6"/>
  <c r="F96" i="6"/>
  <c r="F62" i="6"/>
  <c r="G27" i="6"/>
  <c r="J27" i="6" s="1"/>
  <c r="N27" i="6" s="1"/>
  <c r="L27" i="6"/>
  <c r="F15" i="9"/>
  <c r="G15" i="9" s="1"/>
  <c r="H15" i="9" s="1"/>
  <c r="X16" i="5" s="1"/>
  <c r="G14" i="9"/>
  <c r="H14" i="9" s="1"/>
  <c r="X15" i="5" s="1"/>
  <c r="G7" i="6"/>
  <c r="J7" i="6" s="1"/>
  <c r="L7" i="6"/>
  <c r="G7" i="9"/>
  <c r="H7" i="9" s="1"/>
  <c r="X8" i="5" s="1"/>
  <c r="G32" i="9"/>
  <c r="H32" i="9" s="1"/>
  <c r="X33" i="5" s="1"/>
  <c r="G18" i="6"/>
  <c r="J18" i="6" s="1"/>
  <c r="L18" i="6"/>
  <c r="F9" i="6"/>
  <c r="K146" i="5"/>
  <c r="T146" i="5" s="1"/>
  <c r="AD146" i="5"/>
  <c r="AE146" i="5" s="1"/>
  <c r="K145" i="5"/>
  <c r="T145" i="5" s="1"/>
  <c r="AD145" i="5"/>
  <c r="AE145" i="5" s="1"/>
  <c r="K164" i="5"/>
  <c r="T164" i="5" s="1"/>
  <c r="AD164" i="5"/>
  <c r="AE164" i="5" s="1"/>
  <c r="K157" i="5"/>
  <c r="T157" i="5" s="1"/>
  <c r="AD157" i="5"/>
  <c r="AE157" i="5" s="1"/>
  <c r="K135" i="5"/>
  <c r="T135" i="5" s="1"/>
  <c r="AD135" i="5"/>
  <c r="AE135" i="5" s="1"/>
  <c r="K112" i="5"/>
  <c r="T112" i="5" s="1"/>
  <c r="AD112" i="5"/>
  <c r="AE112" i="5" s="1"/>
  <c r="K93" i="5"/>
  <c r="T93" i="5" s="1"/>
  <c r="AD93" i="5"/>
  <c r="AE93" i="5" s="1"/>
  <c r="K63" i="5"/>
  <c r="T63" i="5" s="1"/>
  <c r="AD63" i="5"/>
  <c r="AE63" i="5" s="1"/>
  <c r="K50" i="5"/>
  <c r="T50" i="5" s="1"/>
  <c r="AD50" i="5"/>
  <c r="AE50" i="5" s="1"/>
  <c r="K117" i="5"/>
  <c r="T117" i="5" s="1"/>
  <c r="AD117" i="5"/>
  <c r="AE117" i="5" s="1"/>
  <c r="K118" i="5"/>
  <c r="T118" i="5" s="1"/>
  <c r="AD118" i="5"/>
  <c r="AE118" i="5" s="1"/>
  <c r="K44" i="5"/>
  <c r="T44" i="5" s="1"/>
  <c r="AD44" i="5"/>
  <c r="AE44" i="5" s="1"/>
  <c r="K96" i="5"/>
  <c r="T96" i="5" s="1"/>
  <c r="AD96" i="5"/>
  <c r="AE96" i="5" s="1"/>
  <c r="K73" i="5"/>
  <c r="T73" i="5" s="1"/>
  <c r="AD73" i="5"/>
  <c r="AE73" i="5" s="1"/>
  <c r="K40" i="5"/>
  <c r="T40" i="5" s="1"/>
  <c r="AD40" i="5"/>
  <c r="AE40" i="5" s="1"/>
  <c r="K64" i="5"/>
  <c r="T64" i="5" s="1"/>
  <c r="AD64" i="5"/>
  <c r="AE64" i="5" s="1"/>
  <c r="K82" i="5"/>
  <c r="T82" i="5" s="1"/>
  <c r="AD82" i="5"/>
  <c r="AE82" i="5" s="1"/>
  <c r="K15" i="5"/>
  <c r="T15" i="5" s="1"/>
  <c r="AD15" i="5"/>
  <c r="AE15" i="5" s="1"/>
  <c r="K72" i="5"/>
  <c r="T72" i="5" s="1"/>
  <c r="AD72" i="5"/>
  <c r="AE72" i="5" s="1"/>
  <c r="K39" i="5"/>
  <c r="T39" i="5" s="1"/>
  <c r="AD39" i="5"/>
  <c r="AE39" i="5" s="1"/>
  <c r="K41" i="5"/>
  <c r="T41" i="5" s="1"/>
  <c r="AD41" i="5"/>
  <c r="AE41" i="5" s="1"/>
  <c r="K26" i="5"/>
  <c r="T26" i="5" s="1"/>
  <c r="AD26" i="5"/>
  <c r="AE26" i="5" s="1"/>
  <c r="K18" i="5"/>
  <c r="T18" i="5" s="1"/>
  <c r="AD18" i="5"/>
  <c r="AE18" i="5" s="1"/>
  <c r="K36" i="5"/>
  <c r="T36" i="5" s="1"/>
  <c r="AD36" i="5"/>
  <c r="AE36" i="5" s="1"/>
  <c r="K4" i="5"/>
  <c r="T4" i="5" s="1"/>
  <c r="AD4" i="5"/>
  <c r="AE4" i="5" s="1"/>
  <c r="B2" i="9"/>
  <c r="B2" i="6"/>
  <c r="B51" i="9"/>
  <c r="B51" i="6"/>
  <c r="B147" i="6"/>
  <c r="B147" i="9"/>
  <c r="BR179" i="3"/>
  <c r="B173" i="6"/>
  <c r="B173" i="9"/>
  <c r="Q142" i="6"/>
  <c r="B128" i="9"/>
  <c r="B128" i="6"/>
  <c r="B118" i="6"/>
  <c r="B118" i="9"/>
  <c r="M159" i="6"/>
  <c r="H159" i="6"/>
  <c r="K159" i="6" s="1"/>
  <c r="G37" i="6"/>
  <c r="J37" i="6" s="1"/>
  <c r="N37" i="6" s="1"/>
  <c r="L37" i="6"/>
  <c r="Q37" i="6" s="1"/>
  <c r="M137" i="6"/>
  <c r="H137" i="6"/>
  <c r="O137" i="6" s="1"/>
  <c r="G74" i="6"/>
  <c r="J74" i="6" s="1"/>
  <c r="L74" i="6"/>
  <c r="G83" i="6"/>
  <c r="L83" i="6"/>
  <c r="J83" i="6"/>
  <c r="G141" i="6"/>
  <c r="I141" i="6" s="1"/>
  <c r="U141" i="6"/>
  <c r="T141" i="6"/>
  <c r="G111" i="6"/>
  <c r="J111" i="6"/>
  <c r="N111" i="6" s="1"/>
  <c r="G66" i="6"/>
  <c r="J66" i="6" s="1"/>
  <c r="L66" i="6"/>
  <c r="G55" i="6"/>
  <c r="J55" i="6" s="1"/>
  <c r="N55" i="6" s="1"/>
  <c r="L55" i="6"/>
  <c r="H153" i="6"/>
  <c r="M153" i="6"/>
  <c r="F88" i="6"/>
  <c r="G32" i="6"/>
  <c r="J32" i="6" s="1"/>
  <c r="L32" i="6"/>
  <c r="H118" i="6"/>
  <c r="M118" i="6"/>
  <c r="L87" i="6"/>
  <c r="G87" i="6"/>
  <c r="L75" i="6"/>
  <c r="G75" i="6"/>
  <c r="J75" i="6" s="1"/>
  <c r="N75" i="6" s="1"/>
  <c r="G47" i="6"/>
  <c r="J47" i="6" s="1"/>
  <c r="L47" i="6"/>
  <c r="G19" i="9"/>
  <c r="H19" i="9" s="1"/>
  <c r="X20" i="5" s="1"/>
  <c r="G130" i="9"/>
  <c r="H130" i="9" s="1"/>
  <c r="X131" i="5" s="1"/>
  <c r="F64" i="6"/>
  <c r="G129" i="6"/>
  <c r="J129" i="6" s="1"/>
  <c r="L129" i="6"/>
  <c r="U129" i="6"/>
  <c r="T129" i="6"/>
  <c r="G104" i="6"/>
  <c r="J104" i="6" s="1"/>
  <c r="L104" i="6"/>
  <c r="H90" i="6"/>
  <c r="M90" i="6"/>
  <c r="K90" i="6"/>
  <c r="G45" i="6"/>
  <c r="L45" i="6"/>
  <c r="J45" i="6"/>
  <c r="G147" i="9"/>
  <c r="H147" i="9" s="1"/>
  <c r="X148" i="5" s="1"/>
  <c r="G93" i="9"/>
  <c r="H93" i="9" s="1"/>
  <c r="X94" i="5" s="1"/>
  <c r="G74" i="9"/>
  <c r="H74" i="9" s="1"/>
  <c r="X75" i="5" s="1"/>
  <c r="L61" i="6"/>
  <c r="G61" i="6"/>
  <c r="G39" i="6"/>
  <c r="J39" i="6" s="1"/>
  <c r="L39" i="6"/>
  <c r="G13" i="6"/>
  <c r="J13" i="6" s="1"/>
  <c r="L13" i="6"/>
  <c r="G6" i="9"/>
  <c r="H6" i="9" s="1"/>
  <c r="X7" i="5" s="1"/>
  <c r="F2" i="9"/>
  <c r="F30" i="6"/>
  <c r="G12" i="6"/>
  <c r="J12" i="6" s="1"/>
  <c r="L12" i="6"/>
  <c r="G6" i="6"/>
  <c r="L6" i="6"/>
  <c r="J6" i="6"/>
  <c r="N6" i="6" s="1"/>
  <c r="G30" i="6"/>
  <c r="J30" i="6" s="1"/>
  <c r="L30" i="6"/>
  <c r="G16" i="6"/>
  <c r="J16" i="6" s="1"/>
  <c r="L16" i="6"/>
  <c r="F8" i="6"/>
  <c r="M3" i="5"/>
  <c r="D177" i="5"/>
  <c r="G3" i="6"/>
  <c r="J3" i="6" s="1"/>
  <c r="L3" i="6"/>
  <c r="U161" i="6"/>
  <c r="K161" i="6"/>
  <c r="O161" i="6" s="1"/>
  <c r="K167" i="5"/>
  <c r="T167" i="5" s="1"/>
  <c r="AD167" i="5"/>
  <c r="AE167" i="5" s="1"/>
  <c r="K134" i="5"/>
  <c r="T134" i="5" s="1"/>
  <c r="AD134" i="5"/>
  <c r="AE134" i="5" s="1"/>
  <c r="K156" i="5"/>
  <c r="T156" i="5" s="1"/>
  <c r="AD156" i="5"/>
  <c r="AE156" i="5" s="1"/>
  <c r="K169" i="5"/>
  <c r="T169" i="5" s="1"/>
  <c r="AD169" i="5"/>
  <c r="AE169" i="5" s="1"/>
  <c r="K166" i="5"/>
  <c r="T166" i="5" s="1"/>
  <c r="AD166" i="5"/>
  <c r="AE166" i="5" s="1"/>
  <c r="K121" i="5"/>
  <c r="T121" i="5" s="1"/>
  <c r="AD121" i="5"/>
  <c r="AE121" i="5" s="1"/>
  <c r="K61" i="5"/>
  <c r="T61" i="5" s="1"/>
  <c r="AD61" i="5"/>
  <c r="AE61" i="5" s="1"/>
  <c r="K91" i="5"/>
  <c r="T91" i="5" s="1"/>
  <c r="AD91" i="5"/>
  <c r="AE91" i="5" s="1"/>
  <c r="K107" i="5"/>
  <c r="T107" i="5" s="1"/>
  <c r="AD107" i="5"/>
  <c r="AE107" i="5" s="1"/>
  <c r="K78" i="5"/>
  <c r="T78" i="5" s="1"/>
  <c r="AD78" i="5"/>
  <c r="AE78" i="5" s="1"/>
  <c r="K38" i="5"/>
  <c r="T38" i="5" s="1"/>
  <c r="AD38" i="5"/>
  <c r="AE38" i="5" s="1"/>
  <c r="K69" i="5"/>
  <c r="T69" i="5" s="1"/>
  <c r="AD69" i="5"/>
  <c r="AE69" i="5" s="1"/>
  <c r="K57" i="5"/>
  <c r="T57" i="5" s="1"/>
  <c r="AD57" i="5"/>
  <c r="AE57" i="5" s="1"/>
  <c r="K68" i="5"/>
  <c r="T68" i="5" s="1"/>
  <c r="AD68" i="5"/>
  <c r="AE68" i="5" s="1"/>
  <c r="K43" i="5"/>
  <c r="T43" i="5" s="1"/>
  <c r="AD43" i="5"/>
  <c r="AE43" i="5" s="1"/>
  <c r="K6" i="5"/>
  <c r="T6" i="5" s="1"/>
  <c r="AD6" i="5"/>
  <c r="AE6" i="5" s="1"/>
  <c r="G146" i="6"/>
  <c r="I146" i="6" s="1"/>
  <c r="L146" i="6"/>
  <c r="F16" i="9"/>
  <c r="G16" i="9" s="1"/>
  <c r="H16" i="9" s="1"/>
  <c r="X17" i="5" s="1"/>
  <c r="G136" i="6"/>
  <c r="J136" i="6" s="1"/>
  <c r="L136" i="6"/>
  <c r="U136" i="6"/>
  <c r="B99" i="9"/>
  <c r="B99" i="6"/>
  <c r="Q148" i="6"/>
  <c r="S148" i="6" s="1"/>
  <c r="V148" i="6" s="1"/>
  <c r="W149" i="5" s="1"/>
  <c r="V89" i="5"/>
  <c r="R88" i="8"/>
  <c r="V74" i="5"/>
  <c r="R73" i="8"/>
  <c r="B96" i="6"/>
  <c r="B96" i="9"/>
  <c r="B86" i="6"/>
  <c r="B86" i="9"/>
  <c r="L69" i="6"/>
  <c r="G69" i="6"/>
  <c r="J69" i="6" s="1"/>
  <c r="M158" i="6"/>
  <c r="H158" i="6"/>
  <c r="K158" i="6"/>
  <c r="H98" i="6"/>
  <c r="I98" i="6" s="1"/>
  <c r="K98" i="6"/>
  <c r="G121" i="6"/>
  <c r="T121" i="6"/>
  <c r="L121" i="6"/>
  <c r="U121" i="6"/>
  <c r="G71" i="6"/>
  <c r="J71" i="6" s="1"/>
  <c r="G59" i="9"/>
  <c r="H59" i="9" s="1"/>
  <c r="X60" i="5" s="1"/>
  <c r="F66" i="9"/>
  <c r="G66" i="9" s="1"/>
  <c r="H66" i="9" s="1"/>
  <c r="X67" i="5" s="1"/>
  <c r="G155" i="6"/>
  <c r="J155" i="6" s="1"/>
  <c r="T155" i="6"/>
  <c r="L155" i="6"/>
  <c r="U155" i="6"/>
  <c r="G109" i="6"/>
  <c r="L109" i="6"/>
  <c r="J109" i="6"/>
  <c r="G91" i="6"/>
  <c r="J91" i="6" s="1"/>
  <c r="N91" i="6" s="1"/>
  <c r="L91" i="6"/>
  <c r="G64" i="6"/>
  <c r="J64" i="6" s="1"/>
  <c r="L64" i="6"/>
  <c r="F100" i="9"/>
  <c r="G100" i="9" s="1"/>
  <c r="H100" i="9" s="1"/>
  <c r="X101" i="5" s="1"/>
  <c r="G159" i="6"/>
  <c r="L159" i="6"/>
  <c r="J159" i="6"/>
  <c r="T159" i="6"/>
  <c r="U159" i="6"/>
  <c r="G117" i="6"/>
  <c r="L117" i="6"/>
  <c r="T117" i="6"/>
  <c r="U117" i="6"/>
  <c r="F73" i="9"/>
  <c r="G73" i="9" s="1"/>
  <c r="H73" i="9" s="1"/>
  <c r="X74" i="5" s="1"/>
  <c r="G143" i="6"/>
  <c r="J143" i="6" s="1"/>
  <c r="L143" i="6"/>
  <c r="G128" i="6"/>
  <c r="L128" i="6"/>
  <c r="U128" i="6"/>
  <c r="J128" i="6"/>
  <c r="G85" i="6"/>
  <c r="L85" i="6"/>
  <c r="G26" i="6"/>
  <c r="J26" i="6" s="1"/>
  <c r="L26" i="6"/>
  <c r="G89" i="6"/>
  <c r="J89" i="6" s="1"/>
  <c r="L89" i="6"/>
  <c r="F43" i="9"/>
  <c r="G43" i="9" s="1"/>
  <c r="H43" i="9" s="1"/>
  <c r="X44" i="5" s="1"/>
  <c r="G112" i="6"/>
  <c r="L112" i="6"/>
  <c r="G36" i="9"/>
  <c r="H36" i="9" s="1"/>
  <c r="X37" i="5" s="1"/>
  <c r="F42" i="9"/>
  <c r="G42" i="9" s="1"/>
  <c r="H42" i="9" s="1"/>
  <c r="X43" i="5" s="1"/>
  <c r="G29" i="6"/>
  <c r="J29" i="6" s="1"/>
  <c r="L29" i="6"/>
  <c r="G34" i="6"/>
  <c r="J34" i="6" s="1"/>
  <c r="L34" i="6"/>
  <c r="G4" i="6"/>
  <c r="J4" i="6" s="1"/>
  <c r="L4" i="6"/>
  <c r="G15" i="6"/>
  <c r="J15" i="6" s="1"/>
  <c r="L15" i="6"/>
  <c r="K172" i="5"/>
  <c r="T172" i="5" s="1"/>
  <c r="AD172" i="5"/>
  <c r="AE172" i="5" s="1"/>
  <c r="K173" i="6"/>
  <c r="H173" i="6"/>
  <c r="K160" i="5"/>
  <c r="T160" i="5" s="1"/>
  <c r="AD160" i="5"/>
  <c r="AE160" i="5" s="1"/>
  <c r="K128" i="5"/>
  <c r="T128" i="5" s="1"/>
  <c r="AD128" i="5"/>
  <c r="AE128" i="5" s="1"/>
  <c r="K79" i="5"/>
  <c r="T79" i="5" s="1"/>
  <c r="AD79" i="5"/>
  <c r="AE79" i="5" s="1"/>
  <c r="K105" i="5"/>
  <c r="T105" i="5" s="1"/>
  <c r="AD105" i="5"/>
  <c r="AE105" i="5" s="1"/>
  <c r="K123" i="5"/>
  <c r="T123" i="5" s="1"/>
  <c r="AD123" i="5"/>
  <c r="AE123" i="5" s="1"/>
  <c r="K174" i="5"/>
  <c r="T174" i="5" s="1"/>
  <c r="AD174" i="5"/>
  <c r="AE174" i="5" s="1"/>
  <c r="K114" i="5"/>
  <c r="T114" i="5" s="1"/>
  <c r="AD114" i="5"/>
  <c r="AE114" i="5" s="1"/>
  <c r="K81" i="5"/>
  <c r="T81" i="5" s="1"/>
  <c r="AD81" i="5"/>
  <c r="AE81" i="5" s="1"/>
  <c r="K90" i="5"/>
  <c r="T90" i="5" s="1"/>
  <c r="AD90" i="5"/>
  <c r="AE90" i="5" s="1"/>
  <c r="K103" i="5"/>
  <c r="T103" i="5" s="1"/>
  <c r="AD103" i="5"/>
  <c r="AE103" i="5" s="1"/>
  <c r="K76" i="5"/>
  <c r="T76" i="5" s="1"/>
  <c r="AD76" i="5"/>
  <c r="AE76" i="5" s="1"/>
  <c r="K70" i="5"/>
  <c r="T70" i="5" s="1"/>
  <c r="AD70" i="5"/>
  <c r="AE70" i="5" s="1"/>
  <c r="K55" i="5"/>
  <c r="T55" i="5" s="1"/>
  <c r="AD55" i="5"/>
  <c r="AE55" i="5" s="1"/>
  <c r="K37" i="5"/>
  <c r="T37" i="5" s="1"/>
  <c r="AD37" i="5"/>
  <c r="AE37" i="5" s="1"/>
  <c r="K56" i="5"/>
  <c r="T56" i="5" s="1"/>
  <c r="AD56" i="5"/>
  <c r="AE56" i="5" s="1"/>
  <c r="K34" i="5"/>
  <c r="T34" i="5" s="1"/>
  <c r="AD34" i="5"/>
  <c r="AE34" i="5" s="1"/>
  <c r="K53" i="5"/>
  <c r="T53" i="5" s="1"/>
  <c r="AD53" i="5"/>
  <c r="AE53" i="5" s="1"/>
  <c r="K35" i="5"/>
  <c r="T35" i="5" s="1"/>
  <c r="AD35" i="5"/>
  <c r="AE35" i="5" s="1"/>
  <c r="K7" i="5"/>
  <c r="T7" i="5" s="1"/>
  <c r="AD7" i="5"/>
  <c r="AE7" i="5" s="1"/>
  <c r="B75" i="6"/>
  <c r="B75" i="9"/>
  <c r="B152" i="9"/>
  <c r="B152" i="6"/>
  <c r="P149" i="6"/>
  <c r="B64" i="6"/>
  <c r="B64" i="9"/>
  <c r="B97" i="9"/>
  <c r="B97" i="6"/>
  <c r="F32" i="6"/>
  <c r="T127" i="6"/>
  <c r="U127" i="6"/>
  <c r="L120" i="6"/>
  <c r="G120" i="6"/>
  <c r="T120" i="6"/>
  <c r="U120" i="6"/>
  <c r="L158" i="6"/>
  <c r="G158" i="6"/>
  <c r="T158" i="6"/>
  <c r="U158" i="6"/>
  <c r="G84" i="6"/>
  <c r="L84" i="6"/>
  <c r="G58" i="6"/>
  <c r="J58" i="6"/>
  <c r="L58" i="6"/>
  <c r="F41" i="6"/>
  <c r="G22" i="6"/>
  <c r="J22" i="6"/>
  <c r="L22" i="6"/>
  <c r="U144" i="6"/>
  <c r="T144" i="6"/>
  <c r="G123" i="6"/>
  <c r="J123" i="6" s="1"/>
  <c r="N123" i="6" s="1"/>
  <c r="L123" i="6"/>
  <c r="U123" i="6"/>
  <c r="T123" i="6"/>
  <c r="G86" i="6"/>
  <c r="I86" i="6" s="1"/>
  <c r="G142" i="9"/>
  <c r="H142" i="9" s="1"/>
  <c r="X143" i="5" s="1"/>
  <c r="G127" i="9"/>
  <c r="H127" i="9" s="1"/>
  <c r="X128" i="5" s="1"/>
  <c r="L110" i="6"/>
  <c r="G110" i="6"/>
  <c r="I110" i="6" s="1"/>
  <c r="G56" i="6"/>
  <c r="J56" i="6"/>
  <c r="N56" i="6" s="1"/>
  <c r="G5" i="9"/>
  <c r="H5" i="9" s="1"/>
  <c r="X6" i="5" s="1"/>
  <c r="K159" i="5"/>
  <c r="T159" i="5" s="1"/>
  <c r="AD159" i="5"/>
  <c r="AE159" i="5" s="1"/>
  <c r="G172" i="6"/>
  <c r="I172" i="6" s="1"/>
  <c r="U172" i="6"/>
  <c r="L172" i="6"/>
  <c r="F27" i="9"/>
  <c r="G27" i="9" s="1"/>
  <c r="H27" i="9" s="1"/>
  <c r="X28" i="5" s="1"/>
  <c r="K171" i="5"/>
  <c r="T171" i="5" s="1"/>
  <c r="AD171" i="5"/>
  <c r="AE171" i="5" s="1"/>
  <c r="T164" i="6"/>
  <c r="L164" i="6"/>
  <c r="Q164" i="6" s="1"/>
  <c r="S164" i="6" s="1"/>
  <c r="V164" i="6" s="1"/>
  <c r="W165" i="5" s="1"/>
  <c r="U164" i="6"/>
  <c r="M171" i="6"/>
  <c r="H171" i="6"/>
  <c r="K138" i="5"/>
  <c r="T138" i="5" s="1"/>
  <c r="AD138" i="5"/>
  <c r="AE138" i="5" s="1"/>
  <c r="K127" i="5"/>
  <c r="T127" i="5" s="1"/>
  <c r="AD127" i="5"/>
  <c r="AE127" i="5" s="1"/>
  <c r="K140" i="5"/>
  <c r="T140" i="5" s="1"/>
  <c r="AD140" i="5"/>
  <c r="AE140" i="5" s="1"/>
  <c r="K88" i="5"/>
  <c r="T88" i="5" s="1"/>
  <c r="AD88" i="5"/>
  <c r="AE88" i="5" s="1"/>
  <c r="K158" i="5"/>
  <c r="T158" i="5" s="1"/>
  <c r="AD158" i="5"/>
  <c r="AE158" i="5" s="1"/>
  <c r="K130" i="5"/>
  <c r="T130" i="5" s="1"/>
  <c r="AD130" i="5"/>
  <c r="AE130" i="5" s="1"/>
  <c r="K100" i="5"/>
  <c r="T100" i="5" s="1"/>
  <c r="AD100" i="5"/>
  <c r="AE100" i="5" s="1"/>
  <c r="K101" i="5"/>
  <c r="T101" i="5" s="1"/>
  <c r="AD101" i="5"/>
  <c r="AE101" i="5" s="1"/>
  <c r="K152" i="5"/>
  <c r="T152" i="5" s="1"/>
  <c r="AD152" i="5"/>
  <c r="AE152" i="5" s="1"/>
  <c r="K122" i="5"/>
  <c r="T122" i="5" s="1"/>
  <c r="AD122" i="5"/>
  <c r="AE122" i="5" s="1"/>
  <c r="K170" i="5"/>
  <c r="T170" i="5" s="1"/>
  <c r="AD170" i="5"/>
  <c r="AE170" i="5" s="1"/>
  <c r="K153" i="5"/>
  <c r="T153" i="5" s="1"/>
  <c r="AD153" i="5"/>
  <c r="AE153" i="5" s="1"/>
  <c r="K71" i="5"/>
  <c r="T71" i="5" s="1"/>
  <c r="AD71" i="5"/>
  <c r="AE71" i="5" s="1"/>
  <c r="K131" i="5"/>
  <c r="T131" i="5" s="1"/>
  <c r="AD131" i="5"/>
  <c r="AE131" i="5" s="1"/>
  <c r="K92" i="5"/>
  <c r="T92" i="5" s="1"/>
  <c r="AD92" i="5"/>
  <c r="AE92" i="5" s="1"/>
  <c r="K16" i="5"/>
  <c r="T16" i="5" s="1"/>
  <c r="AD16" i="5"/>
  <c r="AE16" i="5" s="1"/>
  <c r="K66" i="5"/>
  <c r="T66" i="5" s="1"/>
  <c r="AD66" i="5"/>
  <c r="AE66" i="5" s="1"/>
  <c r="K59" i="5"/>
  <c r="T59" i="5" s="1"/>
  <c r="AD59" i="5"/>
  <c r="AE59" i="5" s="1"/>
  <c r="K87" i="5"/>
  <c r="T87" i="5" s="1"/>
  <c r="AD87" i="5"/>
  <c r="AE87" i="5" s="1"/>
  <c r="K31" i="5"/>
  <c r="T31" i="5" s="1"/>
  <c r="AD31" i="5"/>
  <c r="AE31" i="5" s="1"/>
  <c r="K10" i="5"/>
  <c r="T10" i="5" s="1"/>
  <c r="AD10" i="5"/>
  <c r="AE10" i="5" s="1"/>
  <c r="K5" i="5"/>
  <c r="T5" i="5" s="1"/>
  <c r="AD5" i="5"/>
  <c r="AE5" i="5" s="1"/>
  <c r="K33" i="5"/>
  <c r="T33" i="5" s="1"/>
  <c r="AD33" i="5"/>
  <c r="AE33" i="5" s="1"/>
  <c r="B146" i="6"/>
  <c r="B146" i="9"/>
  <c r="AF7" i="6"/>
  <c r="B27" i="6"/>
  <c r="B27" i="9"/>
  <c r="B83" i="9"/>
  <c r="B83" i="6"/>
  <c r="B131" i="6"/>
  <c r="B131" i="9"/>
  <c r="G115" i="10"/>
  <c r="J115" i="10" s="1"/>
  <c r="Q115" i="10" s="1"/>
  <c r="R115" i="10" s="1"/>
  <c r="G100" i="10"/>
  <c r="J100" i="10" s="1"/>
  <c r="K100" i="10" s="1"/>
  <c r="L100" i="10" s="1"/>
  <c r="U101" i="5" s="1"/>
  <c r="G84" i="10"/>
  <c r="J84" i="10" s="1"/>
  <c r="Q84" i="10" s="1"/>
  <c r="R84" i="10" s="1"/>
  <c r="G68" i="10"/>
  <c r="J68" i="10" s="1"/>
  <c r="Q68" i="10" s="1"/>
  <c r="R68" i="10" s="1"/>
  <c r="G52" i="10"/>
  <c r="J52" i="10" s="1"/>
  <c r="Q52" i="10" s="1"/>
  <c r="R52" i="10" s="1"/>
  <c r="G36" i="10"/>
  <c r="J36" i="10" s="1"/>
  <c r="K36" i="10" s="1"/>
  <c r="L36" i="10" s="1"/>
  <c r="U37" i="5" s="1"/>
  <c r="G20" i="10"/>
  <c r="J20" i="10" s="1"/>
  <c r="Q20" i="10" s="1"/>
  <c r="R20" i="10" s="1"/>
  <c r="G4" i="10"/>
  <c r="J4" i="10" s="1"/>
  <c r="K4" i="10" s="1"/>
  <c r="L4" i="10" s="1"/>
  <c r="U5" i="5" s="1"/>
  <c r="G113" i="10"/>
  <c r="J113" i="10" s="1"/>
  <c r="Q113" i="10" s="1"/>
  <c r="R113" i="10" s="1"/>
  <c r="G96" i="10"/>
  <c r="J96" i="10" s="1"/>
  <c r="K96" i="10" s="1"/>
  <c r="L96" i="10" s="1"/>
  <c r="U97" i="5" s="1"/>
  <c r="G80" i="10"/>
  <c r="J80" i="10" s="1"/>
  <c r="K80" i="10" s="1"/>
  <c r="L80" i="10" s="1"/>
  <c r="U81" i="5" s="1"/>
  <c r="G64" i="10"/>
  <c r="J64" i="10" s="1"/>
  <c r="K64" i="10" s="1"/>
  <c r="L64" i="10" s="1"/>
  <c r="U65" i="5" s="1"/>
  <c r="G48" i="10"/>
  <c r="J48" i="10" s="1"/>
  <c r="K48" i="10" s="1"/>
  <c r="L48" i="10" s="1"/>
  <c r="U49" i="5" s="1"/>
  <c r="G32" i="10"/>
  <c r="J32" i="10" s="1"/>
  <c r="Q32" i="10" s="1"/>
  <c r="R32" i="10" s="1"/>
  <c r="G16" i="10"/>
  <c r="J16" i="10" s="1"/>
  <c r="K16" i="10" s="1"/>
  <c r="L16" i="10" s="1"/>
  <c r="U17" i="5" s="1"/>
  <c r="G114" i="10"/>
  <c r="J114" i="10" s="1"/>
  <c r="K114" i="10" s="1"/>
  <c r="L114" i="10" s="1"/>
  <c r="U115" i="5" s="1"/>
  <c r="G111" i="10"/>
  <c r="J111" i="10" s="1"/>
  <c r="K111" i="10" s="1"/>
  <c r="L111" i="10" s="1"/>
  <c r="U112" i="5" s="1"/>
  <c r="G107" i="10"/>
  <c r="J107" i="10" s="1"/>
  <c r="Q107" i="10" s="1"/>
  <c r="R107" i="10" s="1"/>
  <c r="G103" i="10"/>
  <c r="J103" i="10" s="1"/>
  <c r="Q103" i="10" s="1"/>
  <c r="R103" i="10" s="1"/>
  <c r="G99" i="10"/>
  <c r="J99" i="10" s="1"/>
  <c r="K99" i="10" s="1"/>
  <c r="L99" i="10" s="1"/>
  <c r="U100" i="5" s="1"/>
  <c r="G95" i="10"/>
  <c r="J95" i="10" s="1"/>
  <c r="Q95" i="10" s="1"/>
  <c r="R95" i="10" s="1"/>
  <c r="G91" i="10"/>
  <c r="J91" i="10" s="1"/>
  <c r="Q91" i="10" s="1"/>
  <c r="R91" i="10" s="1"/>
  <c r="G87" i="10"/>
  <c r="J87" i="10" s="1"/>
  <c r="Q87" i="10" s="1"/>
  <c r="R87" i="10" s="1"/>
  <c r="G83" i="10"/>
  <c r="J83" i="10" s="1"/>
  <c r="K83" i="10" s="1"/>
  <c r="L83" i="10" s="1"/>
  <c r="U84" i="5" s="1"/>
  <c r="G79" i="10"/>
  <c r="J79" i="10" s="1"/>
  <c r="Q79" i="10" s="1"/>
  <c r="R79" i="10" s="1"/>
  <c r="G75" i="10"/>
  <c r="J75" i="10" s="1"/>
  <c r="Q75" i="10" s="1"/>
  <c r="R75" i="10" s="1"/>
  <c r="G71" i="10"/>
  <c r="J71" i="10" s="1"/>
  <c r="Q71" i="10" s="1"/>
  <c r="R71" i="10" s="1"/>
  <c r="G67" i="10"/>
  <c r="J67" i="10" s="1"/>
  <c r="K67" i="10" s="1"/>
  <c r="L67" i="10" s="1"/>
  <c r="U68" i="5" s="1"/>
  <c r="G63" i="10"/>
  <c r="J63" i="10" s="1"/>
  <c r="K63" i="10" s="1"/>
  <c r="L63" i="10" s="1"/>
  <c r="U64" i="5" s="1"/>
  <c r="G59" i="10"/>
  <c r="J59" i="10" s="1"/>
  <c r="Q59" i="10" s="1"/>
  <c r="R59" i="10" s="1"/>
  <c r="G55" i="10"/>
  <c r="J55" i="10" s="1"/>
  <c r="Q55" i="10" s="1"/>
  <c r="R55" i="10" s="1"/>
  <c r="G51" i="10"/>
  <c r="J51" i="10" s="1"/>
  <c r="K51" i="10" s="1"/>
  <c r="L51" i="10" s="1"/>
  <c r="U52" i="5" s="1"/>
  <c r="G47" i="10"/>
  <c r="J47" i="10" s="1"/>
  <c r="K47" i="10" s="1"/>
  <c r="L47" i="10" s="1"/>
  <c r="U48" i="5" s="1"/>
  <c r="G43" i="10"/>
  <c r="J43" i="10" s="1"/>
  <c r="Q43" i="10" s="1"/>
  <c r="R43" i="10" s="1"/>
  <c r="G39" i="10"/>
  <c r="J39" i="10" s="1"/>
  <c r="Q39" i="10" s="1"/>
  <c r="R39" i="10" s="1"/>
  <c r="G35" i="10"/>
  <c r="J35" i="10" s="1"/>
  <c r="K35" i="10" s="1"/>
  <c r="L35" i="10" s="1"/>
  <c r="U36" i="5" s="1"/>
  <c r="G31" i="10"/>
  <c r="J31" i="10" s="1"/>
  <c r="K31" i="10" s="1"/>
  <c r="L31" i="10" s="1"/>
  <c r="U32" i="5" s="1"/>
  <c r="G27" i="10"/>
  <c r="J27" i="10" s="1"/>
  <c r="Q27" i="10" s="1"/>
  <c r="R27" i="10" s="1"/>
  <c r="G23" i="10"/>
  <c r="J23" i="10" s="1"/>
  <c r="Q23" i="10" s="1"/>
  <c r="R23" i="10" s="1"/>
  <c r="G19" i="10"/>
  <c r="J19" i="10" s="1"/>
  <c r="K19" i="10" s="1"/>
  <c r="L19" i="10" s="1"/>
  <c r="U20" i="5" s="1"/>
  <c r="G15" i="10"/>
  <c r="J15" i="10" s="1"/>
  <c r="Q15" i="10" s="1"/>
  <c r="R15" i="10" s="1"/>
  <c r="G11" i="10"/>
  <c r="J11" i="10" s="1"/>
  <c r="Q11" i="10" s="1"/>
  <c r="R11" i="10" s="1"/>
  <c r="G7" i="10"/>
  <c r="J7" i="10" s="1"/>
  <c r="Q7" i="10" s="1"/>
  <c r="R7" i="10" s="1"/>
  <c r="G3" i="10"/>
  <c r="J3" i="10" s="1"/>
  <c r="G116" i="10"/>
  <c r="J116" i="10" s="1"/>
  <c r="K116" i="10" s="1"/>
  <c r="L116" i="10" s="1"/>
  <c r="U117" i="5" s="1"/>
  <c r="G110" i="10"/>
  <c r="J110" i="10" s="1"/>
  <c r="K110" i="10" s="1"/>
  <c r="L110" i="10" s="1"/>
  <c r="U111" i="5" s="1"/>
  <c r="G106" i="10"/>
  <c r="J106" i="10" s="1"/>
  <c r="Q106" i="10" s="1"/>
  <c r="R106" i="10" s="1"/>
  <c r="G102" i="10"/>
  <c r="J102" i="10" s="1"/>
  <c r="K102" i="10" s="1"/>
  <c r="L102" i="10" s="1"/>
  <c r="U103" i="5" s="1"/>
  <c r="G98" i="10"/>
  <c r="J98" i="10" s="1"/>
  <c r="K98" i="10" s="1"/>
  <c r="L98" i="10" s="1"/>
  <c r="U99" i="5" s="1"/>
  <c r="G94" i="10"/>
  <c r="J94" i="10" s="1"/>
  <c r="K94" i="10" s="1"/>
  <c r="L94" i="10" s="1"/>
  <c r="U95" i="5" s="1"/>
  <c r="G90" i="10"/>
  <c r="J90" i="10" s="1"/>
  <c r="K90" i="10" s="1"/>
  <c r="L90" i="10" s="1"/>
  <c r="U91" i="5" s="1"/>
  <c r="G86" i="10"/>
  <c r="J86" i="10" s="1"/>
  <c r="K86" i="10" s="1"/>
  <c r="L86" i="10" s="1"/>
  <c r="U87" i="5" s="1"/>
  <c r="G82" i="10"/>
  <c r="J82" i="10" s="1"/>
  <c r="K82" i="10" s="1"/>
  <c r="L82" i="10" s="1"/>
  <c r="U83" i="5" s="1"/>
  <c r="G78" i="10"/>
  <c r="J78" i="10" s="1"/>
  <c r="K78" i="10" s="1"/>
  <c r="L78" i="10" s="1"/>
  <c r="U79" i="5" s="1"/>
  <c r="G74" i="10"/>
  <c r="J74" i="10" s="1"/>
  <c r="Q74" i="10" s="1"/>
  <c r="R74" i="10" s="1"/>
  <c r="G70" i="10"/>
  <c r="J70" i="10" s="1"/>
  <c r="K70" i="10" s="1"/>
  <c r="L70" i="10" s="1"/>
  <c r="U71" i="5" s="1"/>
  <c r="G66" i="10"/>
  <c r="J66" i="10" s="1"/>
  <c r="K66" i="10" s="1"/>
  <c r="L66" i="10" s="1"/>
  <c r="U67" i="5" s="1"/>
  <c r="G62" i="10"/>
  <c r="J62" i="10" s="1"/>
  <c r="K62" i="10" s="1"/>
  <c r="L62" i="10" s="1"/>
  <c r="U63" i="5" s="1"/>
  <c r="G58" i="10"/>
  <c r="J58" i="10" s="1"/>
  <c r="K58" i="10" s="1"/>
  <c r="L58" i="10" s="1"/>
  <c r="U59" i="5" s="1"/>
  <c r="G54" i="10"/>
  <c r="J54" i="10" s="1"/>
  <c r="K54" i="10" s="1"/>
  <c r="L54" i="10" s="1"/>
  <c r="U55" i="5" s="1"/>
  <c r="G50" i="10"/>
  <c r="J50" i="10" s="1"/>
  <c r="K50" i="10" s="1"/>
  <c r="L50" i="10" s="1"/>
  <c r="U51" i="5" s="1"/>
  <c r="G46" i="10"/>
  <c r="J46" i="10" s="1"/>
  <c r="K46" i="10" s="1"/>
  <c r="L46" i="10" s="1"/>
  <c r="U47" i="5" s="1"/>
  <c r="G42" i="10"/>
  <c r="J42" i="10" s="1"/>
  <c r="Q42" i="10" s="1"/>
  <c r="R42" i="10" s="1"/>
  <c r="G38" i="10"/>
  <c r="J38" i="10" s="1"/>
  <c r="K38" i="10" s="1"/>
  <c r="L38" i="10" s="1"/>
  <c r="U39" i="5" s="1"/>
  <c r="G34" i="10"/>
  <c r="J34" i="10" s="1"/>
  <c r="K34" i="10" s="1"/>
  <c r="L34" i="10" s="1"/>
  <c r="U35" i="5" s="1"/>
  <c r="G30" i="10"/>
  <c r="J30" i="10" s="1"/>
  <c r="K30" i="10" s="1"/>
  <c r="L30" i="10" s="1"/>
  <c r="U31" i="5" s="1"/>
  <c r="G26" i="10"/>
  <c r="J26" i="10" s="1"/>
  <c r="K26" i="10" s="1"/>
  <c r="L26" i="10" s="1"/>
  <c r="U27" i="5" s="1"/>
  <c r="G22" i="10"/>
  <c r="J22" i="10" s="1"/>
  <c r="K22" i="10" s="1"/>
  <c r="L22" i="10" s="1"/>
  <c r="U23" i="5" s="1"/>
  <c r="G18" i="10"/>
  <c r="J18" i="10" s="1"/>
  <c r="K18" i="10" s="1"/>
  <c r="L18" i="10" s="1"/>
  <c r="U19" i="5" s="1"/>
  <c r="G14" i="10"/>
  <c r="J14" i="10" s="1"/>
  <c r="K14" i="10" s="1"/>
  <c r="L14" i="10" s="1"/>
  <c r="U15" i="5" s="1"/>
  <c r="G10" i="10"/>
  <c r="J10" i="10" s="1"/>
  <c r="Q10" i="10" s="1"/>
  <c r="R10" i="10" s="1"/>
  <c r="G6" i="10"/>
  <c r="J6" i="10" s="1"/>
  <c r="K6" i="10" s="1"/>
  <c r="L6" i="10" s="1"/>
  <c r="U7" i="5" s="1"/>
  <c r="G2" i="10"/>
  <c r="G112" i="10"/>
  <c r="J112" i="10" s="1"/>
  <c r="Q112" i="10" s="1"/>
  <c r="R112" i="10" s="1"/>
  <c r="G109" i="10"/>
  <c r="J109" i="10" s="1"/>
  <c r="K109" i="10" s="1"/>
  <c r="L109" i="10" s="1"/>
  <c r="U110" i="5" s="1"/>
  <c r="G105" i="10"/>
  <c r="J105" i="10" s="1"/>
  <c r="K105" i="10" s="1"/>
  <c r="L105" i="10" s="1"/>
  <c r="U106" i="5" s="1"/>
  <c r="G101" i="10"/>
  <c r="J101" i="10" s="1"/>
  <c r="K101" i="10" s="1"/>
  <c r="L101" i="10" s="1"/>
  <c r="U102" i="5" s="1"/>
  <c r="G97" i="10"/>
  <c r="J97" i="10" s="1"/>
  <c r="Q97" i="10" s="1"/>
  <c r="R97" i="10" s="1"/>
  <c r="G93" i="10"/>
  <c r="J93" i="10" s="1"/>
  <c r="Q93" i="10" s="1"/>
  <c r="R93" i="10" s="1"/>
  <c r="G89" i="10"/>
  <c r="J89" i="10" s="1"/>
  <c r="K89" i="10" s="1"/>
  <c r="L89" i="10" s="1"/>
  <c r="U90" i="5" s="1"/>
  <c r="G85" i="10"/>
  <c r="J85" i="10" s="1"/>
  <c r="K85" i="10" s="1"/>
  <c r="L85" i="10" s="1"/>
  <c r="U86" i="5" s="1"/>
  <c r="G81" i="10"/>
  <c r="J81" i="10" s="1"/>
  <c r="Q81" i="10" s="1"/>
  <c r="R81" i="10" s="1"/>
  <c r="G77" i="10"/>
  <c r="J77" i="10" s="1"/>
  <c r="K77" i="10" s="1"/>
  <c r="L77" i="10" s="1"/>
  <c r="U78" i="5" s="1"/>
  <c r="G73" i="10"/>
  <c r="J73" i="10" s="1"/>
  <c r="Q73" i="10" s="1"/>
  <c r="R73" i="10" s="1"/>
  <c r="G69" i="10"/>
  <c r="J69" i="10" s="1"/>
  <c r="K69" i="10" s="1"/>
  <c r="L69" i="10" s="1"/>
  <c r="U70" i="5" s="1"/>
  <c r="G65" i="10"/>
  <c r="J65" i="10" s="1"/>
  <c r="Q65" i="10" s="1"/>
  <c r="R65" i="10" s="1"/>
  <c r="G61" i="10"/>
  <c r="J61" i="10" s="1"/>
  <c r="K61" i="10" s="1"/>
  <c r="L61" i="10" s="1"/>
  <c r="U62" i="5" s="1"/>
  <c r="G57" i="10"/>
  <c r="J57" i="10" s="1"/>
  <c r="K57" i="10" s="1"/>
  <c r="L57" i="10" s="1"/>
  <c r="U58" i="5" s="1"/>
  <c r="G53" i="10"/>
  <c r="J53" i="10" s="1"/>
  <c r="K53" i="10" s="1"/>
  <c r="L53" i="10" s="1"/>
  <c r="U54" i="5" s="1"/>
  <c r="G49" i="10"/>
  <c r="J49" i="10" s="1"/>
  <c r="Q49" i="10" s="1"/>
  <c r="R49" i="10" s="1"/>
  <c r="G45" i="10"/>
  <c r="J45" i="10" s="1"/>
  <c r="K45" i="10" s="1"/>
  <c r="L45" i="10" s="1"/>
  <c r="U46" i="5" s="1"/>
  <c r="G41" i="10"/>
  <c r="J41" i="10" s="1"/>
  <c r="K41" i="10" s="1"/>
  <c r="L41" i="10" s="1"/>
  <c r="U42" i="5" s="1"/>
  <c r="G37" i="10"/>
  <c r="J37" i="10" s="1"/>
  <c r="K37" i="10" s="1"/>
  <c r="L37" i="10" s="1"/>
  <c r="U38" i="5" s="1"/>
  <c r="G33" i="10"/>
  <c r="J33" i="10" s="1"/>
  <c r="Q33" i="10" s="1"/>
  <c r="R33" i="10" s="1"/>
  <c r="G29" i="10"/>
  <c r="J29" i="10" s="1"/>
  <c r="Q29" i="10" s="1"/>
  <c r="R29" i="10" s="1"/>
  <c r="G25" i="10"/>
  <c r="J25" i="10" s="1"/>
  <c r="K25" i="10" s="1"/>
  <c r="L25" i="10" s="1"/>
  <c r="U26" i="5" s="1"/>
  <c r="G21" i="10"/>
  <c r="J21" i="10" s="1"/>
  <c r="K21" i="10" s="1"/>
  <c r="L21" i="10" s="1"/>
  <c r="U22" i="5" s="1"/>
  <c r="G17" i="10"/>
  <c r="J17" i="10" s="1"/>
  <c r="Q17" i="10" s="1"/>
  <c r="R17" i="10" s="1"/>
  <c r="G13" i="10"/>
  <c r="J13" i="10" s="1"/>
  <c r="K13" i="10" s="1"/>
  <c r="L13" i="10" s="1"/>
  <c r="U14" i="5" s="1"/>
  <c r="G9" i="10"/>
  <c r="J9" i="10" s="1"/>
  <c r="Q9" i="10" s="1"/>
  <c r="R9" i="10" s="1"/>
  <c r="Q177" i="13"/>
  <c r="R151" i="6"/>
  <c r="R141" i="6"/>
  <c r="R161" i="6"/>
  <c r="K126" i="6"/>
  <c r="O126" i="6" s="1"/>
  <c r="K133" i="6"/>
  <c r="O133" i="6" s="1"/>
  <c r="K172" i="6"/>
  <c r="O172" i="6" s="1"/>
  <c r="X163" i="5"/>
  <c r="O151" i="6"/>
  <c r="R126" i="6"/>
  <c r="R154" i="6"/>
  <c r="K154" i="6"/>
  <c r="O154" i="6" s="1"/>
  <c r="R134" i="6"/>
  <c r="K134" i="6"/>
  <c r="O134" i="6" s="1"/>
  <c r="P163" i="6"/>
  <c r="R160" i="6"/>
  <c r="K160" i="6"/>
  <c r="O160" i="6" s="1"/>
  <c r="R156" i="6"/>
  <c r="I156" i="6"/>
  <c r="R128" i="6"/>
  <c r="O128" i="6"/>
  <c r="I128" i="6"/>
  <c r="K156" i="6"/>
  <c r="O156" i="6" s="1"/>
  <c r="R142" i="6"/>
  <c r="K142" i="6"/>
  <c r="O142" i="6" s="1"/>
  <c r="R146" i="6"/>
  <c r="O146" i="6"/>
  <c r="S163" i="6"/>
  <c r="V163" i="6" s="1"/>
  <c r="W164" i="5" s="1"/>
  <c r="O169" i="6"/>
  <c r="R169" i="6"/>
  <c r="R152" i="6"/>
  <c r="I152" i="6"/>
  <c r="O152" i="6"/>
  <c r="J67" i="6"/>
  <c r="N67" i="6" s="1"/>
  <c r="Q67" i="6"/>
  <c r="Q127" i="6"/>
  <c r="N127" i="6"/>
  <c r="I127" i="6"/>
  <c r="Q151" i="6"/>
  <c r="N151" i="6"/>
  <c r="P151" i="6" s="1"/>
  <c r="Q14" i="6"/>
  <c r="N14" i="6"/>
  <c r="Q144" i="6"/>
  <c r="S144" i="6" s="1"/>
  <c r="V144" i="6" s="1"/>
  <c r="W145" i="5" s="1"/>
  <c r="N144" i="6"/>
  <c r="P144" i="6" s="1"/>
  <c r="I144" i="6"/>
  <c r="Q165" i="6"/>
  <c r="I165" i="6"/>
  <c r="Q57" i="6"/>
  <c r="J57" i="6"/>
  <c r="N57" i="6" s="1"/>
  <c r="Q167" i="6"/>
  <c r="S167" i="6" s="1"/>
  <c r="V167" i="6" s="1"/>
  <c r="W168" i="5" s="1"/>
  <c r="I167" i="6"/>
  <c r="N164" i="6"/>
  <c r="P164" i="6" s="1"/>
  <c r="I164" i="6"/>
  <c r="Q38" i="6"/>
  <c r="J38" i="6"/>
  <c r="N38" i="6" s="1"/>
  <c r="P38" i="6" s="1"/>
  <c r="T38" i="6" s="1"/>
  <c r="I38" i="6"/>
  <c r="Q41" i="6"/>
  <c r="J41" i="6"/>
  <c r="N41" i="6" s="1"/>
  <c r="J80" i="6"/>
  <c r="N80" i="6" s="1"/>
  <c r="Q80" i="6"/>
  <c r="Q116" i="6"/>
  <c r="N116" i="6"/>
  <c r="P116" i="6" s="1"/>
  <c r="T116" i="6" s="1"/>
  <c r="N173" i="6"/>
  <c r="Q173" i="6"/>
  <c r="I173" i="6"/>
  <c r="Q44" i="6"/>
  <c r="J44" i="6"/>
  <c r="N44" i="6" s="1"/>
  <c r="J173" i="6"/>
  <c r="Q19" i="6"/>
  <c r="I19" i="6"/>
  <c r="J19" i="6"/>
  <c r="N19" i="6" s="1"/>
  <c r="N98" i="6"/>
  <c r="Q98" i="6"/>
  <c r="N171" i="6"/>
  <c r="I171" i="6"/>
  <c r="N169" i="6"/>
  <c r="Q169" i="6"/>
  <c r="I169" i="6"/>
  <c r="I162" i="6"/>
  <c r="J20" i="6"/>
  <c r="N20" i="6" s="1"/>
  <c r="I20" i="6"/>
  <c r="Q92" i="6"/>
  <c r="N92" i="6"/>
  <c r="J33" i="6"/>
  <c r="N33" i="6" s="1"/>
  <c r="I33" i="6"/>
  <c r="J73" i="6"/>
  <c r="N73" i="6" s="1"/>
  <c r="J162" i="6"/>
  <c r="N162" i="6" s="1"/>
  <c r="J14" i="6"/>
  <c r="N132" i="6"/>
  <c r="I132" i="6"/>
  <c r="J144" i="6"/>
  <c r="N160" i="6"/>
  <c r="I160" i="6"/>
  <c r="Q28" i="6"/>
  <c r="J28" i="6"/>
  <c r="N28" i="6" s="1"/>
  <c r="J127" i="6"/>
  <c r="K104" i="10"/>
  <c r="L104" i="10" s="1"/>
  <c r="U105" i="5" s="1"/>
  <c r="Q96" i="10"/>
  <c r="R96" i="10" s="1"/>
  <c r="Q72" i="10"/>
  <c r="R72" i="10" s="1"/>
  <c r="K56" i="10"/>
  <c r="L56" i="10" s="1"/>
  <c r="U57" i="5" s="1"/>
  <c r="Q56" i="10"/>
  <c r="R56" i="10" s="1"/>
  <c r="Q24" i="10"/>
  <c r="R24" i="10" s="1"/>
  <c r="K8" i="10"/>
  <c r="L8" i="10" s="1"/>
  <c r="U9" i="5" s="1"/>
  <c r="Q8" i="10"/>
  <c r="R8" i="10" s="1"/>
  <c r="K95" i="10"/>
  <c r="L95" i="10" s="1"/>
  <c r="U96" i="5" s="1"/>
  <c r="Q63" i="10"/>
  <c r="R63" i="10" s="1"/>
  <c r="Q77" i="10"/>
  <c r="R77" i="10" s="1"/>
  <c r="Q13" i="10"/>
  <c r="R13" i="10" s="1"/>
  <c r="K5" i="10"/>
  <c r="L5" i="10" s="1"/>
  <c r="U6" i="5" s="1"/>
  <c r="Q5" i="10"/>
  <c r="R5" i="10" s="1"/>
  <c r="K108" i="10"/>
  <c r="L108" i="10" s="1"/>
  <c r="U109" i="5" s="1"/>
  <c r="Q108" i="10"/>
  <c r="R108" i="10" s="1"/>
  <c r="Q92" i="10"/>
  <c r="R92" i="10" s="1"/>
  <c r="K76" i="10"/>
  <c r="L76" i="10" s="1"/>
  <c r="U77" i="5" s="1"/>
  <c r="Q76" i="10"/>
  <c r="R76" i="10" s="1"/>
  <c r="K60" i="10"/>
  <c r="L60" i="10" s="1"/>
  <c r="U61" i="5" s="1"/>
  <c r="K52" i="10"/>
  <c r="L52" i="10" s="1"/>
  <c r="U53" i="5" s="1"/>
  <c r="K44" i="10"/>
  <c r="L44" i="10" s="1"/>
  <c r="U45" i="5" s="1"/>
  <c r="Q36" i="10"/>
  <c r="R36" i="10" s="1"/>
  <c r="K12" i="10"/>
  <c r="L12" i="10" s="1"/>
  <c r="U13" i="5" s="1"/>
  <c r="Q12" i="10"/>
  <c r="R12" i="10" s="1"/>
  <c r="K107" i="10"/>
  <c r="L107" i="10" s="1"/>
  <c r="U108" i="5" s="1"/>
  <c r="K91" i="10"/>
  <c r="L91" i="10" s="1"/>
  <c r="U92" i="5" s="1"/>
  <c r="K75" i="10"/>
  <c r="L75" i="10" s="1"/>
  <c r="U76" i="5" s="1"/>
  <c r="K59" i="10"/>
  <c r="L59" i="10" s="1"/>
  <c r="U60" i="5" s="1"/>
  <c r="K43" i="10"/>
  <c r="L43" i="10" s="1"/>
  <c r="U44" i="5" s="1"/>
  <c r="K27" i="10"/>
  <c r="L27" i="10" s="1"/>
  <c r="U28" i="5" s="1"/>
  <c r="K11" i="10"/>
  <c r="L11" i="10" s="1"/>
  <c r="U12" i="5" s="1"/>
  <c r="K106" i="10"/>
  <c r="L106" i="10" s="1"/>
  <c r="U107" i="5" s="1"/>
  <c r="K74" i="10"/>
  <c r="L74" i="10" s="1"/>
  <c r="U75" i="5" s="1"/>
  <c r="K42" i="10"/>
  <c r="L42" i="10" s="1"/>
  <c r="U43" i="5" s="1"/>
  <c r="K10" i="10"/>
  <c r="L10" i="10" s="1"/>
  <c r="U11" i="5" s="1"/>
  <c r="K81" i="10"/>
  <c r="L81" i="10" s="1"/>
  <c r="U82" i="5" s="1"/>
  <c r="K65" i="10"/>
  <c r="L65" i="10" s="1"/>
  <c r="U66" i="5" s="1"/>
  <c r="K17" i="10"/>
  <c r="L17" i="10" s="1"/>
  <c r="U18" i="5" s="1"/>
  <c r="I177" i="13"/>
  <c r="I6" i="4"/>
  <c r="I5" i="4"/>
  <c r="I17" i="4"/>
  <c r="I135" i="4"/>
  <c r="I174" i="4"/>
  <c r="I28" i="4"/>
  <c r="I147" i="4"/>
  <c r="I151" i="4"/>
  <c r="I52" i="4"/>
  <c r="I19" i="4"/>
  <c r="I29" i="4"/>
  <c r="I78" i="4"/>
  <c r="I173" i="4"/>
  <c r="I156" i="4"/>
  <c r="I64" i="4"/>
  <c r="I115" i="4"/>
  <c r="I94" i="4"/>
  <c r="I155" i="4"/>
  <c r="I170" i="4"/>
  <c r="I55" i="4"/>
  <c r="I106" i="4"/>
  <c r="I109" i="4"/>
  <c r="I89" i="4"/>
  <c r="I97" i="4"/>
  <c r="I102" i="4"/>
  <c r="I167" i="4"/>
  <c r="I33" i="4"/>
  <c r="I18" i="4"/>
  <c r="I59" i="4"/>
  <c r="I31" i="4"/>
  <c r="I141" i="4"/>
  <c r="I34" i="4"/>
  <c r="I129" i="4"/>
  <c r="I103" i="4"/>
  <c r="I69" i="4"/>
  <c r="I32" i="4"/>
  <c r="I76" i="4"/>
  <c r="I43" i="4"/>
  <c r="I134" i="4"/>
  <c r="I125" i="4"/>
  <c r="I88" i="4"/>
  <c r="I138" i="4"/>
  <c r="I159" i="4"/>
  <c r="I154" i="4"/>
  <c r="I3" i="4"/>
  <c r="I9" i="4"/>
  <c r="I38" i="4"/>
  <c r="I82" i="4"/>
  <c r="I56" i="4"/>
  <c r="I87" i="4"/>
  <c r="I66" i="4"/>
  <c r="I22" i="4"/>
  <c r="I50" i="4"/>
  <c r="I148" i="4"/>
  <c r="I96" i="4"/>
  <c r="I53" i="4"/>
  <c r="I113" i="4"/>
  <c r="I51" i="4"/>
  <c r="I166" i="4"/>
  <c r="I93" i="4"/>
  <c r="I75" i="4"/>
  <c r="I165" i="4"/>
  <c r="I63" i="4"/>
  <c r="I36" i="4"/>
  <c r="I124" i="4"/>
  <c r="I35" i="4"/>
  <c r="I23" i="4"/>
  <c r="I58" i="4"/>
  <c r="I83" i="4"/>
  <c r="I92" i="4"/>
  <c r="I81" i="4"/>
  <c r="I137" i="4"/>
  <c r="I104" i="4"/>
  <c r="I49" i="4"/>
  <c r="I139" i="4"/>
  <c r="I121" i="4"/>
  <c r="I16" i="4"/>
  <c r="I114" i="4"/>
  <c r="I152" i="4"/>
  <c r="H177" i="4"/>
  <c r="I175" i="4"/>
  <c r="I20" i="4"/>
  <c r="I112" i="4"/>
  <c r="I128" i="4"/>
  <c r="I8" i="4"/>
  <c r="I85" i="4"/>
  <c r="I42" i="4"/>
  <c r="I126" i="4"/>
  <c r="I145" i="4"/>
  <c r="I111" i="4"/>
  <c r="I120" i="4"/>
  <c r="I105" i="4"/>
  <c r="I127" i="4"/>
  <c r="I131" i="4"/>
  <c r="I62" i="4"/>
  <c r="I108" i="4"/>
  <c r="I142" i="4"/>
  <c r="I164" i="4"/>
  <c r="I37" i="4"/>
  <c r="I10" i="4"/>
  <c r="I130" i="4"/>
  <c r="I71" i="4"/>
  <c r="I123" i="4"/>
  <c r="I157" i="4"/>
  <c r="I47" i="4"/>
  <c r="I169" i="4"/>
  <c r="I161" i="4"/>
  <c r="I48" i="4"/>
  <c r="I98" i="4"/>
  <c r="I118" i="4"/>
  <c r="I153" i="4"/>
  <c r="I146" i="4"/>
  <c r="I39" i="4"/>
  <c r="I21" i="4"/>
  <c r="I72" i="4"/>
  <c r="I143" i="4"/>
  <c r="I122" i="4"/>
  <c r="I90" i="4"/>
  <c r="I150" i="4"/>
  <c r="I61" i="4"/>
  <c r="I101" i="4"/>
  <c r="I24" i="4"/>
  <c r="I46" i="4"/>
  <c r="I65" i="4"/>
  <c r="I4" i="4"/>
  <c r="I30" i="4"/>
  <c r="I158" i="4"/>
  <c r="I99" i="4"/>
  <c r="I116" i="4"/>
  <c r="I117" i="4"/>
  <c r="I84" i="4"/>
  <c r="I68" i="4"/>
  <c r="I70" i="4"/>
  <c r="I172" i="4"/>
  <c r="I91" i="4"/>
  <c r="I133" i="4"/>
  <c r="I25" i="4"/>
  <c r="I107" i="4"/>
  <c r="I7" i="4"/>
  <c r="I60" i="4"/>
  <c r="I77" i="4"/>
  <c r="I163" i="4"/>
  <c r="I57" i="4"/>
  <c r="I168" i="4"/>
  <c r="I110" i="4"/>
  <c r="I73" i="4"/>
  <c r="I40" i="4"/>
  <c r="I149" i="4"/>
  <c r="I67" i="4"/>
  <c r="I54" i="4"/>
  <c r="I119" i="4"/>
  <c r="I80" i="4"/>
  <c r="I45" i="4"/>
  <c r="I132" i="4"/>
  <c r="I95" i="4"/>
  <c r="I162" i="4"/>
  <c r="I41" i="4"/>
  <c r="I86" i="4"/>
  <c r="I171" i="4"/>
  <c r="I140" i="4"/>
  <c r="I144" i="4"/>
  <c r="I79" i="4"/>
  <c r="I136" i="4"/>
  <c r="I26" i="4"/>
  <c r="I74" i="4"/>
  <c r="AB177" i="4"/>
  <c r="Q105" i="10" l="1"/>
  <c r="R105" i="10" s="1"/>
  <c r="Q54" i="10"/>
  <c r="R54" i="10" s="1"/>
  <c r="Q83" i="10"/>
  <c r="R83" i="10" s="1"/>
  <c r="Q41" i="10"/>
  <c r="R41" i="10" s="1"/>
  <c r="Q51" i="10"/>
  <c r="R51" i="10" s="1"/>
  <c r="Q88" i="10"/>
  <c r="R88" i="10" s="1"/>
  <c r="Q19" i="10"/>
  <c r="R19" i="10" s="1"/>
  <c r="K68" i="10"/>
  <c r="L68" i="10" s="1"/>
  <c r="U69" i="5" s="1"/>
  <c r="Q114" i="10"/>
  <c r="R114" i="10" s="1"/>
  <c r="Q4" i="10"/>
  <c r="R4" i="10" s="1"/>
  <c r="Q28" i="10"/>
  <c r="R28" i="10" s="1"/>
  <c r="Q40" i="10"/>
  <c r="R40" i="10" s="1"/>
  <c r="Q64" i="10"/>
  <c r="R64" i="10" s="1"/>
  <c r="K9" i="10"/>
  <c r="L9" i="10" s="1"/>
  <c r="U10" i="5" s="1"/>
  <c r="K73" i="10"/>
  <c r="L73" i="10" s="1"/>
  <c r="U74" i="5" s="1"/>
  <c r="Q57" i="10"/>
  <c r="R57" i="10" s="1"/>
  <c r="V12" i="10"/>
  <c r="V13" i="10" s="1"/>
  <c r="V14" i="10" s="1"/>
  <c r="Q35" i="10"/>
  <c r="R35" i="10" s="1"/>
  <c r="Q67" i="10"/>
  <c r="R67" i="10" s="1"/>
  <c r="Q99" i="10"/>
  <c r="R99" i="10" s="1"/>
  <c r="Q22" i="10"/>
  <c r="R22" i="10" s="1"/>
  <c r="Q86" i="10"/>
  <c r="R86" i="10" s="1"/>
  <c r="Q25" i="10"/>
  <c r="R25" i="10" s="1"/>
  <c r="Q89" i="10"/>
  <c r="R89" i="10" s="1"/>
  <c r="Q102" i="10"/>
  <c r="R102" i="10" s="1"/>
  <c r="Q26" i="10"/>
  <c r="R26" i="10" s="1"/>
  <c r="Q58" i="10"/>
  <c r="R58" i="10" s="1"/>
  <c r="Q90" i="10"/>
  <c r="R90" i="10" s="1"/>
  <c r="O27" i="6"/>
  <c r="R162" i="6"/>
  <c r="P142" i="6"/>
  <c r="Q110" i="6"/>
  <c r="I148" i="6"/>
  <c r="Q147" i="6"/>
  <c r="O148" i="6"/>
  <c r="P148" i="6" s="1"/>
  <c r="R80" i="6"/>
  <c r="R140" i="6"/>
  <c r="K49" i="10"/>
  <c r="L49" i="10" s="1"/>
  <c r="U50" i="5" s="1"/>
  <c r="K112" i="10"/>
  <c r="L112" i="10" s="1"/>
  <c r="U113" i="5" s="1"/>
  <c r="Q100" i="10"/>
  <c r="R100" i="10" s="1"/>
  <c r="Q45" i="10"/>
  <c r="R45" i="10" s="1"/>
  <c r="Q109" i="10"/>
  <c r="R109" i="10" s="1"/>
  <c r="Q38" i="10"/>
  <c r="R38" i="10" s="1"/>
  <c r="K32" i="10"/>
  <c r="L32" i="10" s="1"/>
  <c r="U33" i="5" s="1"/>
  <c r="I92" i="6"/>
  <c r="I80" i="6"/>
  <c r="S165" i="6"/>
  <c r="V165" i="6" s="1"/>
  <c r="W166" i="5" s="1"/>
  <c r="I151" i="6"/>
  <c r="S127" i="6"/>
  <c r="V127" i="6" s="1"/>
  <c r="W128" i="5" s="1"/>
  <c r="S142" i="6"/>
  <c r="V142" i="6" s="1"/>
  <c r="W143" i="5" s="1"/>
  <c r="AF8" i="6"/>
  <c r="L56" i="6"/>
  <c r="L71" i="6"/>
  <c r="Q71" i="6" s="1"/>
  <c r="S71" i="6" s="1"/>
  <c r="R158" i="6"/>
  <c r="R37" i="8"/>
  <c r="L111" i="6"/>
  <c r="L137" i="6"/>
  <c r="L101" i="6"/>
  <c r="L46" i="6"/>
  <c r="Q46" i="6" s="1"/>
  <c r="L11" i="6"/>
  <c r="L154" i="6"/>
  <c r="L122" i="6"/>
  <c r="Q122" i="6" s="1"/>
  <c r="S122" i="6" s="1"/>
  <c r="V122" i="6" s="1"/>
  <c r="W123" i="5" s="1"/>
  <c r="Y123" i="5" s="1"/>
  <c r="L54" i="6"/>
  <c r="P145" i="6"/>
  <c r="R27" i="6"/>
  <c r="R108" i="6"/>
  <c r="R20" i="6"/>
  <c r="L162" i="6"/>
  <c r="Q162" i="6" s="1"/>
  <c r="O135" i="6"/>
  <c r="K127" i="6"/>
  <c r="O127" i="6" s="1"/>
  <c r="P127" i="6" s="1"/>
  <c r="R127" i="6"/>
  <c r="G21" i="8"/>
  <c r="I21" i="8" s="1"/>
  <c r="J21" i="8" s="1"/>
  <c r="K21" i="8" s="1"/>
  <c r="O40" i="8" s="1"/>
  <c r="L86" i="6"/>
  <c r="G36" i="8"/>
  <c r="I36" i="8" s="1"/>
  <c r="J36" i="8" s="1"/>
  <c r="K36" i="8" s="1"/>
  <c r="G32" i="8"/>
  <c r="I32" i="8" s="1"/>
  <c r="J32" i="8" s="1"/>
  <c r="K32" i="8" s="1"/>
  <c r="R65" i="8"/>
  <c r="V66" i="5"/>
  <c r="S141" i="6"/>
  <c r="V141" i="6" s="1"/>
  <c r="W142" i="5" s="1"/>
  <c r="Y142" i="5" s="1"/>
  <c r="P123" i="6"/>
  <c r="O50" i="8"/>
  <c r="K93" i="10"/>
  <c r="L93" i="10" s="1"/>
  <c r="U94" i="5" s="1"/>
  <c r="K33" i="10"/>
  <c r="L33" i="10" s="1"/>
  <c r="U34" i="5" s="1"/>
  <c r="K97" i="10"/>
  <c r="L97" i="10" s="1"/>
  <c r="U98" i="5" s="1"/>
  <c r="S80" i="6"/>
  <c r="I142" i="6"/>
  <c r="I133" i="6"/>
  <c r="L141" i="6"/>
  <c r="Q141" i="6" s="1"/>
  <c r="AA27" i="6"/>
  <c r="L77" i="6"/>
  <c r="L124" i="6"/>
  <c r="Q124" i="6" s="1"/>
  <c r="L156" i="6"/>
  <c r="L31" i="6"/>
  <c r="L145" i="6"/>
  <c r="Q145" i="6" s="1"/>
  <c r="S145" i="6" s="1"/>
  <c r="V145" i="6" s="1"/>
  <c r="W146" i="5" s="1"/>
  <c r="Y146" i="5" s="1"/>
  <c r="L126" i="6"/>
  <c r="Q126" i="6" s="1"/>
  <c r="S126" i="6" s="1"/>
  <c r="V126" i="6" s="1"/>
  <c r="W127" i="5" s="1"/>
  <c r="Y127" i="5" s="1"/>
  <c r="R116" i="6"/>
  <c r="R19" i="6"/>
  <c r="G9" i="8"/>
  <c r="I9" i="8" s="1"/>
  <c r="J9" i="8" s="1"/>
  <c r="K9" i="8" s="1"/>
  <c r="O17" i="8" s="1"/>
  <c r="G4" i="8"/>
  <c r="I4" i="8" s="1"/>
  <c r="J4" i="8" s="1"/>
  <c r="K4" i="8" s="1"/>
  <c r="O7" i="8" s="1"/>
  <c r="G35" i="8"/>
  <c r="I35" i="8" s="1"/>
  <c r="J35" i="8" s="1"/>
  <c r="K35" i="8" s="1"/>
  <c r="P111" i="6"/>
  <c r="T111" i="6" s="1"/>
  <c r="R51" i="8"/>
  <c r="V52" i="5"/>
  <c r="Q18" i="10"/>
  <c r="R18" i="10" s="1"/>
  <c r="Q34" i="10"/>
  <c r="R34" i="10" s="1"/>
  <c r="Q50" i="10"/>
  <c r="R50" i="10" s="1"/>
  <c r="Q66" i="10"/>
  <c r="R66" i="10" s="1"/>
  <c r="Q82" i="10"/>
  <c r="R82" i="10" s="1"/>
  <c r="Q98" i="10"/>
  <c r="R98" i="10" s="1"/>
  <c r="Q116" i="10"/>
  <c r="R116" i="10" s="1"/>
  <c r="K29" i="10"/>
  <c r="L29" i="10" s="1"/>
  <c r="U30" i="5" s="1"/>
  <c r="K15" i="10"/>
  <c r="L15" i="10" s="1"/>
  <c r="U16" i="5" s="1"/>
  <c r="Q48" i="10"/>
  <c r="R48" i="10" s="1"/>
  <c r="S19" i="6"/>
  <c r="O87" i="6"/>
  <c r="Q87" i="6"/>
  <c r="J141" i="6"/>
  <c r="N141" i="6" s="1"/>
  <c r="P141" i="6" s="1"/>
  <c r="Q18" i="6"/>
  <c r="Q77" i="6"/>
  <c r="S77" i="6" s="1"/>
  <c r="R157" i="6"/>
  <c r="Q43" i="6"/>
  <c r="O102" i="6"/>
  <c r="R112" i="6"/>
  <c r="R43" i="8"/>
  <c r="V44" i="5"/>
  <c r="Q31" i="10"/>
  <c r="R31" i="10" s="1"/>
  <c r="K79" i="10"/>
  <c r="L79" i="10" s="1"/>
  <c r="U80" i="5" s="1"/>
  <c r="I27" i="6"/>
  <c r="I87" i="6"/>
  <c r="P156" i="6"/>
  <c r="J86" i="6"/>
  <c r="N86" i="6" s="1"/>
  <c r="P86" i="6" s="1"/>
  <c r="T86" i="6" s="1"/>
  <c r="P150" i="6"/>
  <c r="R31" i="6"/>
  <c r="R10" i="6"/>
  <c r="S10" i="6" s="1"/>
  <c r="S20" i="6"/>
  <c r="V20" i="6" s="1"/>
  <c r="W21" i="5" s="1"/>
  <c r="R87" i="6"/>
  <c r="S87" i="6" s="1"/>
  <c r="V87" i="6" s="1"/>
  <c r="W88" i="5" s="1"/>
  <c r="O158" i="6"/>
  <c r="R150" i="6"/>
  <c r="N131" i="6"/>
  <c r="P131" i="6" s="1"/>
  <c r="Q11" i="6"/>
  <c r="K112" i="6"/>
  <c r="O112" i="6" s="1"/>
  <c r="R100" i="6"/>
  <c r="R94" i="6"/>
  <c r="R101" i="6"/>
  <c r="P63" i="6"/>
  <c r="T63" i="6" s="1"/>
  <c r="BK165" i="3"/>
  <c r="G164" i="5" s="1"/>
  <c r="P164" i="5" s="1"/>
  <c r="BK166" i="3"/>
  <c r="G165" i="5" s="1"/>
  <c r="P165" i="5" s="1"/>
  <c r="BK162" i="3"/>
  <c r="G161" i="5" s="1"/>
  <c r="P161" i="5" s="1"/>
  <c r="BK163" i="3"/>
  <c r="G162" i="5" s="1"/>
  <c r="P162" i="5" s="1"/>
  <c r="BK164" i="3"/>
  <c r="G163" i="5" s="1"/>
  <c r="P163" i="5" s="1"/>
  <c r="BK172" i="3"/>
  <c r="G171" i="5" s="1"/>
  <c r="P171" i="5" s="1"/>
  <c r="BK173" i="3"/>
  <c r="G172" i="5" s="1"/>
  <c r="P172" i="5" s="1"/>
  <c r="BK111" i="3"/>
  <c r="G110" i="5" s="1"/>
  <c r="P110" i="5" s="1"/>
  <c r="BK169" i="3"/>
  <c r="G168" i="5" s="1"/>
  <c r="P168" i="5" s="1"/>
  <c r="Y168" i="5" s="1"/>
  <c r="BK92" i="3"/>
  <c r="G91" i="5" s="1"/>
  <c r="P91" i="5" s="1"/>
  <c r="BK100" i="3"/>
  <c r="G99" i="5" s="1"/>
  <c r="P99" i="5" s="1"/>
  <c r="BK47" i="3"/>
  <c r="BK104" i="3"/>
  <c r="G103" i="5" s="1"/>
  <c r="P103" i="5" s="1"/>
  <c r="BK150" i="3"/>
  <c r="G149" i="5" s="1"/>
  <c r="P149" i="5" s="1"/>
  <c r="Y149" i="5" s="1"/>
  <c r="M177" i="5"/>
  <c r="AD3" i="5"/>
  <c r="K3" i="5"/>
  <c r="T3" i="5" s="1"/>
  <c r="T177" i="5" s="1"/>
  <c r="J168" i="12"/>
  <c r="K168" i="12" s="1"/>
  <c r="H168" i="12"/>
  <c r="H94" i="12"/>
  <c r="J94" i="12"/>
  <c r="K94" i="12" s="1"/>
  <c r="J145" i="12"/>
  <c r="K145" i="12" s="1"/>
  <c r="H145" i="12"/>
  <c r="J84" i="12"/>
  <c r="K84" i="12" s="1"/>
  <c r="H84" i="12"/>
  <c r="K115" i="10"/>
  <c r="L115" i="10" s="1"/>
  <c r="U116" i="5" s="1"/>
  <c r="K113" i="10"/>
  <c r="L113" i="10" s="1"/>
  <c r="U114" i="5" s="1"/>
  <c r="Q58" i="6"/>
  <c r="N58" i="6"/>
  <c r="Q26" i="6"/>
  <c r="N26" i="6"/>
  <c r="P26" i="6" s="1"/>
  <c r="T26" i="6" s="1"/>
  <c r="I26" i="6"/>
  <c r="Q30" i="6"/>
  <c r="N30" i="6"/>
  <c r="Q39" i="6"/>
  <c r="N39" i="6"/>
  <c r="Q45" i="6"/>
  <c r="N45" i="6"/>
  <c r="I45" i="6"/>
  <c r="Q111" i="6"/>
  <c r="I111" i="6"/>
  <c r="Q83" i="6"/>
  <c r="N83" i="6"/>
  <c r="H70" i="6"/>
  <c r="K70" i="6" s="1"/>
  <c r="O70" i="6" s="1"/>
  <c r="P70" i="6" s="1"/>
  <c r="T70" i="6" s="1"/>
  <c r="M70" i="6"/>
  <c r="Q118" i="6"/>
  <c r="N118" i="6"/>
  <c r="I118" i="6"/>
  <c r="J156" i="12"/>
  <c r="K156" i="12" s="1"/>
  <c r="H156" i="12"/>
  <c r="J172" i="12"/>
  <c r="K172" i="12" s="1"/>
  <c r="H172" i="12"/>
  <c r="H50" i="12"/>
  <c r="J50" i="12"/>
  <c r="K50" i="12" s="1"/>
  <c r="J159" i="12"/>
  <c r="K159" i="12" s="1"/>
  <c r="H159" i="12"/>
  <c r="J119" i="12"/>
  <c r="K119" i="12" s="1"/>
  <c r="H119" i="12"/>
  <c r="H106" i="12"/>
  <c r="J106" i="12"/>
  <c r="K106" i="12" s="1"/>
  <c r="H174" i="12"/>
  <c r="J174" i="12"/>
  <c r="K174" i="12" s="1"/>
  <c r="H142" i="12"/>
  <c r="J142" i="12"/>
  <c r="K142" i="12" s="1"/>
  <c r="J47" i="12"/>
  <c r="K47" i="12" s="1"/>
  <c r="H47" i="12"/>
  <c r="J34" i="12"/>
  <c r="K34" i="12" s="1"/>
  <c r="H34" i="12"/>
  <c r="H149" i="12"/>
  <c r="J149" i="12"/>
  <c r="K149" i="12" s="1"/>
  <c r="J71" i="12"/>
  <c r="K71" i="12" s="1"/>
  <c r="H71" i="12"/>
  <c r="J90" i="12"/>
  <c r="K90" i="12" s="1"/>
  <c r="H90" i="12"/>
  <c r="J125" i="12"/>
  <c r="K125" i="12" s="1"/>
  <c r="H125" i="12"/>
  <c r="J93" i="12"/>
  <c r="K93" i="12" s="1"/>
  <c r="H93" i="12"/>
  <c r="J61" i="12"/>
  <c r="K61" i="12" s="1"/>
  <c r="H61" i="12"/>
  <c r="J29" i="12"/>
  <c r="K29" i="12" s="1"/>
  <c r="H29" i="12"/>
  <c r="H120" i="12"/>
  <c r="J120" i="12"/>
  <c r="K120" i="12" s="1"/>
  <c r="H88" i="12"/>
  <c r="J88" i="12"/>
  <c r="K88" i="12" s="1"/>
  <c r="H56" i="12"/>
  <c r="J56" i="12"/>
  <c r="K56" i="12" s="1"/>
  <c r="H24" i="12"/>
  <c r="J24" i="12"/>
  <c r="K24" i="12" s="1"/>
  <c r="Q48" i="6"/>
  <c r="N48" i="6"/>
  <c r="R24" i="6"/>
  <c r="O24" i="6"/>
  <c r="H89" i="6"/>
  <c r="K89" i="6" s="1"/>
  <c r="O89" i="6" s="1"/>
  <c r="M89" i="6"/>
  <c r="Q50" i="6"/>
  <c r="N50" i="6"/>
  <c r="I50" i="6"/>
  <c r="Q68" i="6"/>
  <c r="N68" i="6"/>
  <c r="I68" i="6"/>
  <c r="Q130" i="6"/>
  <c r="S130" i="6" s="1"/>
  <c r="V130" i="6" s="1"/>
  <c r="W131" i="5" s="1"/>
  <c r="Y131" i="5" s="1"/>
  <c r="I130" i="6"/>
  <c r="Q150" i="6"/>
  <c r="I150" i="6"/>
  <c r="M55" i="6"/>
  <c r="H55" i="6"/>
  <c r="K55" i="6" s="1"/>
  <c r="Q93" i="6"/>
  <c r="I93" i="6"/>
  <c r="N93" i="6"/>
  <c r="P93" i="6" s="1"/>
  <c r="T93" i="6" s="1"/>
  <c r="Q70" i="6"/>
  <c r="H3" i="6"/>
  <c r="K3" i="6" s="1"/>
  <c r="M3" i="6"/>
  <c r="H105" i="6"/>
  <c r="K105" i="6" s="1"/>
  <c r="O105" i="6" s="1"/>
  <c r="P105" i="6" s="1"/>
  <c r="T105" i="6" s="1"/>
  <c r="M105" i="6"/>
  <c r="H115" i="6"/>
  <c r="M115" i="6"/>
  <c r="K115" i="6"/>
  <c r="O115" i="6" s="1"/>
  <c r="P115" i="6" s="1"/>
  <c r="T115" i="6" s="1"/>
  <c r="N147" i="6"/>
  <c r="I147" i="6"/>
  <c r="N102" i="6"/>
  <c r="I102" i="6"/>
  <c r="Q102" i="6"/>
  <c r="Q31" i="6"/>
  <c r="I31" i="6"/>
  <c r="Q35" i="6"/>
  <c r="N35" i="6"/>
  <c r="I35" i="6"/>
  <c r="Q157" i="6"/>
  <c r="I157" i="6"/>
  <c r="N157" i="6"/>
  <c r="Q62" i="6"/>
  <c r="N62" i="6"/>
  <c r="H106" i="6"/>
  <c r="K106" i="6" s="1"/>
  <c r="M106" i="6"/>
  <c r="O31" i="6"/>
  <c r="O99" i="6"/>
  <c r="R26" i="6"/>
  <c r="R110" i="6"/>
  <c r="S110" i="6" s="1"/>
  <c r="R82" i="6"/>
  <c r="O82" i="6"/>
  <c r="R77" i="6"/>
  <c r="R7" i="6"/>
  <c r="O68" i="6"/>
  <c r="P68" i="6" s="1"/>
  <c r="T68" i="6" s="1"/>
  <c r="R68" i="6"/>
  <c r="R16" i="6"/>
  <c r="O16" i="6"/>
  <c r="R84" i="6"/>
  <c r="O84" i="6"/>
  <c r="Y171" i="5"/>
  <c r="Q47" i="6"/>
  <c r="N47" i="6"/>
  <c r="I47" i="6"/>
  <c r="H99" i="12"/>
  <c r="J99" i="12"/>
  <c r="K99" i="12" s="1"/>
  <c r="H46" i="12"/>
  <c r="J46" i="12"/>
  <c r="K46" i="12" s="1"/>
  <c r="J20" i="12"/>
  <c r="K20" i="12" s="1"/>
  <c r="H20" i="12"/>
  <c r="I95" i="6"/>
  <c r="J95" i="6"/>
  <c r="N95" i="6"/>
  <c r="Q95" i="6"/>
  <c r="Q96" i="6"/>
  <c r="N96" i="6"/>
  <c r="X166" i="5"/>
  <c r="X161" i="5"/>
  <c r="R57" i="6"/>
  <c r="R73" i="6"/>
  <c r="O73" i="6"/>
  <c r="P73" i="6" s="1"/>
  <c r="T73" i="6" s="1"/>
  <c r="R85" i="6"/>
  <c r="O85" i="6"/>
  <c r="S116" i="6"/>
  <c r="V116" i="6" s="1"/>
  <c r="W117" i="5" s="1"/>
  <c r="Y117" i="5" s="1"/>
  <c r="J120" i="6"/>
  <c r="N120" i="6" s="1"/>
  <c r="Q120" i="6"/>
  <c r="I85" i="6"/>
  <c r="N85" i="6"/>
  <c r="P85" i="6" s="1"/>
  <c r="T85" i="6" s="1"/>
  <c r="J85" i="6"/>
  <c r="Q85" i="6"/>
  <c r="Q91" i="6"/>
  <c r="I91" i="6"/>
  <c r="Q155" i="6"/>
  <c r="S155" i="6" s="1"/>
  <c r="V155" i="6" s="1"/>
  <c r="W156" i="5" s="1"/>
  <c r="N155" i="6"/>
  <c r="P155" i="6" s="1"/>
  <c r="I155" i="6"/>
  <c r="Q146" i="6"/>
  <c r="S146" i="6" s="1"/>
  <c r="V146" i="6" s="1"/>
  <c r="W147" i="5" s="1"/>
  <c r="Y147" i="5" s="1"/>
  <c r="J146" i="6"/>
  <c r="N146" i="6" s="1"/>
  <c r="H8" i="6"/>
  <c r="I8" i="6" s="1"/>
  <c r="M8" i="6"/>
  <c r="Q6" i="6"/>
  <c r="Q55" i="6"/>
  <c r="BS162" i="3"/>
  <c r="J161" i="5" s="1"/>
  <c r="S161" i="5" s="1"/>
  <c r="BS163" i="3"/>
  <c r="J162" i="5" s="1"/>
  <c r="S162" i="5" s="1"/>
  <c r="BS164" i="3"/>
  <c r="J163" i="5" s="1"/>
  <c r="S163" i="5" s="1"/>
  <c r="BS165" i="3"/>
  <c r="J164" i="5" s="1"/>
  <c r="S164" i="5" s="1"/>
  <c r="BS166" i="3"/>
  <c r="J165" i="5" s="1"/>
  <c r="S165" i="5" s="1"/>
  <c r="BS12" i="3"/>
  <c r="J11" i="5" s="1"/>
  <c r="BS39" i="3"/>
  <c r="J38" i="5" s="1"/>
  <c r="S38" i="5" s="1"/>
  <c r="BS60" i="3"/>
  <c r="J59" i="5" s="1"/>
  <c r="S59" i="5" s="1"/>
  <c r="BS157" i="3"/>
  <c r="J156" i="5" s="1"/>
  <c r="S156" i="5" s="1"/>
  <c r="BS51" i="3"/>
  <c r="J50" i="5" s="1"/>
  <c r="S50" i="5" s="1"/>
  <c r="BS139" i="3"/>
  <c r="J138" i="5" s="1"/>
  <c r="S138" i="5" s="1"/>
  <c r="BS76" i="3"/>
  <c r="J75" i="5" s="1"/>
  <c r="S75" i="5" s="1"/>
  <c r="BS168" i="3"/>
  <c r="J167" i="5" s="1"/>
  <c r="S167" i="5" s="1"/>
  <c r="Y167" i="5" s="1"/>
  <c r="BS131" i="3"/>
  <c r="J130" i="5" s="1"/>
  <c r="S130" i="5" s="1"/>
  <c r="BS129" i="3"/>
  <c r="J128" i="5" s="1"/>
  <c r="S128" i="5" s="1"/>
  <c r="BS44" i="3"/>
  <c r="J43" i="5" s="1"/>
  <c r="S43" i="5" s="1"/>
  <c r="BS154" i="3"/>
  <c r="J153" i="5" s="1"/>
  <c r="S153" i="5" s="1"/>
  <c r="BS144" i="3"/>
  <c r="J143" i="5" s="1"/>
  <c r="S143" i="5" s="1"/>
  <c r="BS152" i="3"/>
  <c r="J151" i="5" s="1"/>
  <c r="S151" i="5" s="1"/>
  <c r="BS45" i="3"/>
  <c r="J44" i="5" s="1"/>
  <c r="S44" i="5" s="1"/>
  <c r="BS156" i="3"/>
  <c r="J155" i="5" s="1"/>
  <c r="S155" i="5" s="1"/>
  <c r="BS77" i="3"/>
  <c r="J76" i="5" s="1"/>
  <c r="S76" i="5" s="1"/>
  <c r="BS46" i="3"/>
  <c r="J45" i="5" s="1"/>
  <c r="S45" i="5" s="1"/>
  <c r="BS158" i="3"/>
  <c r="J157" i="5" s="1"/>
  <c r="S157" i="5" s="1"/>
  <c r="BS22" i="3"/>
  <c r="J21" i="5" s="1"/>
  <c r="S21" i="5" s="1"/>
  <c r="BS176" i="3"/>
  <c r="J175" i="5" s="1"/>
  <c r="S175" i="5" s="1"/>
  <c r="BS161" i="3"/>
  <c r="J160" i="5" s="1"/>
  <c r="S160" i="5" s="1"/>
  <c r="BS41" i="3"/>
  <c r="J40" i="5" s="1"/>
  <c r="S40" i="5" s="1"/>
  <c r="BS167" i="3"/>
  <c r="J166" i="5" s="1"/>
  <c r="S166" i="5" s="1"/>
  <c r="BS171" i="3"/>
  <c r="J170" i="5" s="1"/>
  <c r="S170" i="5" s="1"/>
  <c r="BS79" i="3"/>
  <c r="J78" i="5" s="1"/>
  <c r="S78" i="5" s="1"/>
  <c r="BS103" i="3"/>
  <c r="J102" i="5" s="1"/>
  <c r="S102" i="5" s="1"/>
  <c r="N134" i="6"/>
  <c r="P134" i="6" s="1"/>
  <c r="Q134" i="6"/>
  <c r="Q88" i="6"/>
  <c r="N88" i="6"/>
  <c r="Q106" i="6"/>
  <c r="N106" i="6"/>
  <c r="J136" i="12"/>
  <c r="K136" i="12" s="1"/>
  <c r="H136" i="12"/>
  <c r="J152" i="12"/>
  <c r="K152" i="12" s="1"/>
  <c r="H152" i="12"/>
  <c r="J95" i="12"/>
  <c r="K95" i="12" s="1"/>
  <c r="H95" i="12"/>
  <c r="H18" i="12"/>
  <c r="J18" i="12"/>
  <c r="K18" i="12" s="1"/>
  <c r="J151" i="12"/>
  <c r="K151" i="12" s="1"/>
  <c r="H151" i="12"/>
  <c r="J87" i="12"/>
  <c r="K87" i="12" s="1"/>
  <c r="H87" i="12"/>
  <c r="H74" i="12"/>
  <c r="J74" i="12"/>
  <c r="K74" i="12" s="1"/>
  <c r="H166" i="12"/>
  <c r="J166" i="12"/>
  <c r="K166" i="12" s="1"/>
  <c r="H134" i="12"/>
  <c r="J134" i="12"/>
  <c r="K134" i="12" s="1"/>
  <c r="J15" i="12"/>
  <c r="K15" i="12" s="1"/>
  <c r="H15" i="12"/>
  <c r="H173" i="12"/>
  <c r="J173" i="12"/>
  <c r="K173" i="12" s="1"/>
  <c r="H141" i="12"/>
  <c r="J141" i="12"/>
  <c r="K141" i="12" s="1"/>
  <c r="J39" i="12"/>
  <c r="K39" i="12" s="1"/>
  <c r="H39" i="12"/>
  <c r="J58" i="12"/>
  <c r="K58" i="12" s="1"/>
  <c r="H58" i="12"/>
  <c r="J117" i="12"/>
  <c r="K117" i="12" s="1"/>
  <c r="H117" i="12"/>
  <c r="J85" i="12"/>
  <c r="K85" i="12" s="1"/>
  <c r="H85" i="12"/>
  <c r="J53" i="12"/>
  <c r="K53" i="12" s="1"/>
  <c r="H53" i="12"/>
  <c r="J21" i="12"/>
  <c r="K21" i="12" s="1"/>
  <c r="H21" i="12"/>
  <c r="J112" i="12"/>
  <c r="K112" i="12" s="1"/>
  <c r="H112" i="12"/>
  <c r="J80" i="12"/>
  <c r="K80" i="12" s="1"/>
  <c r="H80" i="12"/>
  <c r="J48" i="12"/>
  <c r="K48" i="12" s="1"/>
  <c r="H48" i="12"/>
  <c r="J16" i="12"/>
  <c r="K16" i="12" s="1"/>
  <c r="H16" i="12"/>
  <c r="Q8" i="6"/>
  <c r="N8" i="6"/>
  <c r="M48" i="6"/>
  <c r="H48" i="6"/>
  <c r="K48" i="6" s="1"/>
  <c r="N77" i="6"/>
  <c r="P77" i="6" s="1"/>
  <c r="T77" i="6" s="1"/>
  <c r="I77" i="6"/>
  <c r="H6" i="6"/>
  <c r="K6" i="6" s="1"/>
  <c r="O6" i="6" s="1"/>
  <c r="P6" i="6" s="1"/>
  <c r="T6" i="6" s="1"/>
  <c r="M6" i="6"/>
  <c r="H114" i="6"/>
  <c r="K114" i="6" s="1"/>
  <c r="O114" i="6" s="1"/>
  <c r="M114" i="6"/>
  <c r="Q86" i="6"/>
  <c r="H14" i="6"/>
  <c r="I14" i="6" s="1"/>
  <c r="M14" i="6"/>
  <c r="I154" i="6"/>
  <c r="J154" i="6"/>
  <c r="N154" i="6" s="1"/>
  <c r="P154" i="6" s="1"/>
  <c r="Q154" i="6"/>
  <c r="S154" i="6" s="1"/>
  <c r="V154" i="6" s="1"/>
  <c r="W155" i="5" s="1"/>
  <c r="Y155" i="5" s="1"/>
  <c r="R109" i="6"/>
  <c r="O109" i="6"/>
  <c r="H107" i="6"/>
  <c r="I107" i="6" s="1"/>
  <c r="M107" i="6"/>
  <c r="Q135" i="6"/>
  <c r="S135" i="6" s="1"/>
  <c r="V135" i="6" s="1"/>
  <c r="W136" i="5" s="1"/>
  <c r="Y136" i="5" s="1"/>
  <c r="J135" i="6"/>
  <c r="N135" i="6"/>
  <c r="P135" i="6" s="1"/>
  <c r="I135" i="6"/>
  <c r="M58" i="6"/>
  <c r="H58" i="6"/>
  <c r="I60" i="6"/>
  <c r="Q60" i="6"/>
  <c r="Q125" i="6"/>
  <c r="S125" i="6" s="1"/>
  <c r="V125" i="6" s="1"/>
  <c r="W126" i="5" s="1"/>
  <c r="Y126" i="5" s="1"/>
  <c r="N125" i="6"/>
  <c r="P125" i="6" s="1"/>
  <c r="I125" i="6"/>
  <c r="Q52" i="6"/>
  <c r="N52" i="6"/>
  <c r="P52" i="6" s="1"/>
  <c r="T52" i="6" s="1"/>
  <c r="I52" i="6"/>
  <c r="Q81" i="6"/>
  <c r="O78" i="6"/>
  <c r="P78" i="6" s="1"/>
  <c r="T78" i="6" s="1"/>
  <c r="R78" i="6"/>
  <c r="R22" i="6"/>
  <c r="O22" i="6"/>
  <c r="P91" i="6"/>
  <c r="T91" i="6" s="1"/>
  <c r="O7" i="6"/>
  <c r="R51" i="6"/>
  <c r="O51" i="6"/>
  <c r="R11" i="6"/>
  <c r="R50" i="6"/>
  <c r="S50" i="6" s="1"/>
  <c r="O50" i="6"/>
  <c r="P50" i="6" s="1"/>
  <c r="T50" i="6" s="1"/>
  <c r="F176" i="6"/>
  <c r="H43" i="12"/>
  <c r="J43" i="12"/>
  <c r="K43" i="12" s="1"/>
  <c r="J57" i="12"/>
  <c r="K57" i="12" s="1"/>
  <c r="H57" i="12"/>
  <c r="Q90" i="6"/>
  <c r="N90" i="6"/>
  <c r="Q25" i="6"/>
  <c r="N25" i="6"/>
  <c r="K171" i="6"/>
  <c r="O171" i="6" s="1"/>
  <c r="P171" i="6" s="1"/>
  <c r="R171" i="6"/>
  <c r="S171" i="6" s="1"/>
  <c r="V171" i="6" s="1"/>
  <c r="W172" i="5" s="1"/>
  <c r="Q56" i="6"/>
  <c r="I84" i="6"/>
  <c r="N84" i="6"/>
  <c r="Q84" i="6"/>
  <c r="S84" i="6" s="1"/>
  <c r="J84" i="6"/>
  <c r="Q15" i="6"/>
  <c r="N15" i="6"/>
  <c r="I15" i="6"/>
  <c r="Q159" i="6"/>
  <c r="N159" i="6"/>
  <c r="I159" i="6"/>
  <c r="J121" i="6"/>
  <c r="I121" i="6"/>
  <c r="N121" i="6"/>
  <c r="P121" i="6" s="1"/>
  <c r="Q121" i="6"/>
  <c r="S121" i="6" s="1"/>
  <c r="V121" i="6" s="1"/>
  <c r="W122" i="5" s="1"/>
  <c r="Y122" i="5" s="1"/>
  <c r="I90" i="6"/>
  <c r="O90" i="6"/>
  <c r="R90" i="6"/>
  <c r="Q129" i="6"/>
  <c r="S129" i="6" s="1"/>
  <c r="V129" i="6" s="1"/>
  <c r="W130" i="5" s="1"/>
  <c r="N129" i="6"/>
  <c r="P129" i="6" s="1"/>
  <c r="I129" i="6"/>
  <c r="Q75" i="6"/>
  <c r="Q74" i="6"/>
  <c r="N74" i="6"/>
  <c r="R159" i="6"/>
  <c r="O159" i="6"/>
  <c r="P159" i="6" s="1"/>
  <c r="Q27" i="6"/>
  <c r="H104" i="6"/>
  <c r="M104" i="6"/>
  <c r="K104" i="6"/>
  <c r="Q78" i="6"/>
  <c r="N78" i="6"/>
  <c r="I78" i="6"/>
  <c r="H83" i="6"/>
  <c r="K83" i="6" s="1"/>
  <c r="M83" i="6"/>
  <c r="Q40" i="6"/>
  <c r="N40" i="6"/>
  <c r="J38" i="12"/>
  <c r="K38" i="12" s="1"/>
  <c r="H38" i="12"/>
  <c r="J63" i="12"/>
  <c r="K63" i="12" s="1"/>
  <c r="H63" i="12"/>
  <c r="H131" i="12"/>
  <c r="J131" i="12"/>
  <c r="K131" i="12" s="1"/>
  <c r="H11" i="12"/>
  <c r="J11" i="12"/>
  <c r="K11" i="12" s="1"/>
  <c r="H147" i="12"/>
  <c r="J147" i="12"/>
  <c r="K147" i="12" s="1"/>
  <c r="H62" i="12"/>
  <c r="J62" i="12"/>
  <c r="K62" i="12" s="1"/>
  <c r="H67" i="12"/>
  <c r="J67" i="12"/>
  <c r="K67" i="12" s="1"/>
  <c r="J162" i="12"/>
  <c r="K162" i="12" s="1"/>
  <c r="H162" i="12"/>
  <c r="H118" i="12"/>
  <c r="J118" i="12"/>
  <c r="K118" i="12" s="1"/>
  <c r="J123" i="12"/>
  <c r="K123" i="12" s="1"/>
  <c r="H123" i="12"/>
  <c r="J169" i="12"/>
  <c r="K169" i="12" s="1"/>
  <c r="H169" i="12"/>
  <c r="J137" i="12"/>
  <c r="K137" i="12" s="1"/>
  <c r="H137" i="12"/>
  <c r="H14" i="12"/>
  <c r="J14" i="12"/>
  <c r="K14" i="12" s="1"/>
  <c r="J51" i="12"/>
  <c r="K51" i="12" s="1"/>
  <c r="H51" i="12"/>
  <c r="J113" i="12"/>
  <c r="K113" i="12" s="1"/>
  <c r="H113" i="12"/>
  <c r="J81" i="12"/>
  <c r="K81" i="12" s="1"/>
  <c r="H81" i="12"/>
  <c r="J49" i="12"/>
  <c r="K49" i="12" s="1"/>
  <c r="H49" i="12"/>
  <c r="J17" i="12"/>
  <c r="K17" i="12" s="1"/>
  <c r="H17" i="12"/>
  <c r="J108" i="12"/>
  <c r="K108" i="12" s="1"/>
  <c r="H108" i="12"/>
  <c r="J76" i="12"/>
  <c r="K76" i="12" s="1"/>
  <c r="H76" i="12"/>
  <c r="J44" i="12"/>
  <c r="K44" i="12" s="1"/>
  <c r="H44" i="12"/>
  <c r="J12" i="12"/>
  <c r="K12" i="12" s="1"/>
  <c r="H12" i="12"/>
  <c r="P137" i="6"/>
  <c r="I170" i="6"/>
  <c r="N170" i="6"/>
  <c r="P170" i="6" s="1"/>
  <c r="Q65" i="6"/>
  <c r="I65" i="6"/>
  <c r="N65" i="6"/>
  <c r="Q152" i="6"/>
  <c r="J152" i="6"/>
  <c r="N152" i="6" s="1"/>
  <c r="P152" i="6" s="1"/>
  <c r="Q101" i="6"/>
  <c r="S101" i="6" s="1"/>
  <c r="N101" i="6"/>
  <c r="I101" i="6"/>
  <c r="Q49" i="6"/>
  <c r="N49" i="6"/>
  <c r="P49" i="6" s="1"/>
  <c r="T49" i="6" s="1"/>
  <c r="I49" i="6"/>
  <c r="R42" i="8"/>
  <c r="V43" i="5"/>
  <c r="H67" i="6"/>
  <c r="K67" i="6" s="1"/>
  <c r="M67" i="6"/>
  <c r="Q100" i="6"/>
  <c r="J100" i="6"/>
  <c r="N100" i="6" s="1"/>
  <c r="I100" i="6"/>
  <c r="H4" i="6"/>
  <c r="K4" i="6" s="1"/>
  <c r="M4" i="6"/>
  <c r="H39" i="6"/>
  <c r="M39" i="6"/>
  <c r="H75" i="6"/>
  <c r="K75" i="6" s="1"/>
  <c r="M75" i="6"/>
  <c r="V10" i="5"/>
  <c r="R9" i="8"/>
  <c r="Q5" i="6"/>
  <c r="N5" i="6"/>
  <c r="Q23" i="6"/>
  <c r="N23" i="6"/>
  <c r="K108" i="6"/>
  <c r="O108" i="6" s="1"/>
  <c r="P108" i="6" s="1"/>
  <c r="T108" i="6" s="1"/>
  <c r="R49" i="6"/>
  <c r="R38" i="6"/>
  <c r="S38" i="6" s="1"/>
  <c r="O47" i="6"/>
  <c r="R47" i="6"/>
  <c r="R52" i="6"/>
  <c r="R60" i="6"/>
  <c r="O60" i="6"/>
  <c r="P60" i="6" s="1"/>
  <c r="T60" i="6" s="1"/>
  <c r="R91" i="6"/>
  <c r="S91" i="6" s="1"/>
  <c r="K19" i="6"/>
  <c r="O19" i="6" s="1"/>
  <c r="R111" i="6"/>
  <c r="R71" i="6"/>
  <c r="R79" i="6"/>
  <c r="O79" i="6"/>
  <c r="P79" i="6" s="1"/>
  <c r="T79" i="6" s="1"/>
  <c r="K20" i="6"/>
  <c r="O20" i="6" s="1"/>
  <c r="P20" i="6" s="1"/>
  <c r="T20" i="6" s="1"/>
  <c r="Q34" i="6"/>
  <c r="N34" i="6"/>
  <c r="Q61" i="6"/>
  <c r="J61" i="6"/>
  <c r="N61" i="6"/>
  <c r="I61" i="6"/>
  <c r="I113" i="6"/>
  <c r="Q113" i="6"/>
  <c r="H155" i="12"/>
  <c r="J155" i="12"/>
  <c r="K155" i="12" s="1"/>
  <c r="J27" i="12"/>
  <c r="K27" i="12" s="1"/>
  <c r="H27" i="12"/>
  <c r="J25" i="12"/>
  <c r="K25" i="12" s="1"/>
  <c r="H25" i="12"/>
  <c r="J2" i="6"/>
  <c r="N2" i="6"/>
  <c r="Q2" i="6"/>
  <c r="I2" i="6"/>
  <c r="Q79" i="6"/>
  <c r="I79" i="6"/>
  <c r="I94" i="6"/>
  <c r="Q94" i="6"/>
  <c r="J94" i="6"/>
  <c r="N94" i="6"/>
  <c r="Q59" i="6"/>
  <c r="I59" i="6"/>
  <c r="N59" i="6"/>
  <c r="H74" i="6"/>
  <c r="K74" i="6" s="1"/>
  <c r="M74" i="6"/>
  <c r="R74" i="6" s="1"/>
  <c r="R12" i="6"/>
  <c r="Q61" i="10"/>
  <c r="R61" i="10" s="1"/>
  <c r="Q47" i="10"/>
  <c r="R47" i="10" s="1"/>
  <c r="Q111" i="10"/>
  <c r="R111" i="10" s="1"/>
  <c r="I73" i="6"/>
  <c r="P169" i="6"/>
  <c r="S152" i="6"/>
  <c r="V152" i="6" s="1"/>
  <c r="W153" i="5" s="1"/>
  <c r="P146" i="6"/>
  <c r="J110" i="6"/>
  <c r="N110" i="6" s="1"/>
  <c r="Q22" i="6"/>
  <c r="N22" i="6"/>
  <c r="I22" i="6"/>
  <c r="Q29" i="6"/>
  <c r="N29" i="6"/>
  <c r="H64" i="6"/>
  <c r="K64" i="6" s="1"/>
  <c r="M64" i="6"/>
  <c r="Q32" i="6"/>
  <c r="N32" i="6"/>
  <c r="R137" i="6"/>
  <c r="M9" i="6"/>
  <c r="H9" i="6"/>
  <c r="H62" i="6"/>
  <c r="K62" i="6" s="1"/>
  <c r="M62" i="6"/>
  <c r="Q149" i="6"/>
  <c r="S149" i="6" s="1"/>
  <c r="V149" i="6" s="1"/>
  <c r="W150" i="5" s="1"/>
  <c r="Y150" i="5" s="1"/>
  <c r="I149" i="6"/>
  <c r="J164" i="12"/>
  <c r="K164" i="12" s="1"/>
  <c r="H164" i="12"/>
  <c r="J148" i="12"/>
  <c r="K148" i="12" s="1"/>
  <c r="H148" i="12"/>
  <c r="H114" i="12"/>
  <c r="J114" i="12"/>
  <c r="K114" i="12" s="1"/>
  <c r="J175" i="12"/>
  <c r="K175" i="12" s="1"/>
  <c r="H175" i="12"/>
  <c r="J143" i="12"/>
  <c r="K143" i="12" s="1"/>
  <c r="H143" i="12"/>
  <c r="J55" i="12"/>
  <c r="K55" i="12" s="1"/>
  <c r="H55" i="12"/>
  <c r="H42" i="12"/>
  <c r="J42" i="12"/>
  <c r="K42" i="12" s="1"/>
  <c r="H158" i="12"/>
  <c r="J158" i="12"/>
  <c r="K158" i="12" s="1"/>
  <c r="J111" i="12"/>
  <c r="K111" i="12" s="1"/>
  <c r="H111" i="12"/>
  <c r="J98" i="12"/>
  <c r="K98" i="12" s="1"/>
  <c r="H98" i="12"/>
  <c r="H165" i="12"/>
  <c r="J165" i="12"/>
  <c r="K165" i="12" s="1"/>
  <c r="J128" i="12"/>
  <c r="K128" i="12" s="1"/>
  <c r="H128" i="12"/>
  <c r="J7" i="12"/>
  <c r="K7" i="12" s="1"/>
  <c r="H7" i="12"/>
  <c r="J26" i="12"/>
  <c r="K26" i="12" s="1"/>
  <c r="H26" i="12"/>
  <c r="J109" i="12"/>
  <c r="K109" i="12" s="1"/>
  <c r="H109" i="12"/>
  <c r="J77" i="12"/>
  <c r="K77" i="12" s="1"/>
  <c r="H77" i="12"/>
  <c r="J45" i="12"/>
  <c r="K45" i="12" s="1"/>
  <c r="H45" i="12"/>
  <c r="J13" i="12"/>
  <c r="K13" i="12" s="1"/>
  <c r="H13" i="12"/>
  <c r="J104" i="12"/>
  <c r="K104" i="12" s="1"/>
  <c r="H104" i="12"/>
  <c r="J72" i="12"/>
  <c r="K72" i="12" s="1"/>
  <c r="H72" i="12"/>
  <c r="J40" i="12"/>
  <c r="K40" i="12" s="1"/>
  <c r="H40" i="12"/>
  <c r="J8" i="12"/>
  <c r="K8" i="12" s="1"/>
  <c r="H8" i="12"/>
  <c r="Q21" i="6"/>
  <c r="N21" i="6"/>
  <c r="P21" i="6" s="1"/>
  <c r="T21" i="6" s="1"/>
  <c r="I21" i="6"/>
  <c r="H97" i="6"/>
  <c r="I97" i="6" s="1"/>
  <c r="M97" i="6"/>
  <c r="N133" i="6"/>
  <c r="P133" i="6" s="1"/>
  <c r="Q133" i="6"/>
  <c r="S133" i="6" s="1"/>
  <c r="V133" i="6" s="1"/>
  <c r="W134" i="5" s="1"/>
  <c r="Y134" i="5" s="1"/>
  <c r="L134" i="12" s="1"/>
  <c r="Z134" i="5" s="1"/>
  <c r="AA134" i="5" s="1"/>
  <c r="Q103" i="6"/>
  <c r="N103" i="6"/>
  <c r="I103" i="6"/>
  <c r="K143" i="6"/>
  <c r="O143" i="6" s="1"/>
  <c r="R143" i="6"/>
  <c r="Q114" i="6"/>
  <c r="N114" i="6"/>
  <c r="I114" i="6"/>
  <c r="Q97" i="6"/>
  <c r="N97" i="6"/>
  <c r="N46" i="6"/>
  <c r="R102" i="6"/>
  <c r="Q10" i="6"/>
  <c r="N10" i="6"/>
  <c r="I10" i="6"/>
  <c r="M37" i="6"/>
  <c r="H37" i="6"/>
  <c r="I37" i="6" s="1"/>
  <c r="O147" i="6"/>
  <c r="N11" i="6"/>
  <c r="P11" i="6" s="1"/>
  <c r="T11" i="6" s="1"/>
  <c r="I11" i="6"/>
  <c r="N124" i="6"/>
  <c r="I124" i="6"/>
  <c r="H56" i="6"/>
  <c r="K56" i="6" s="1"/>
  <c r="O56" i="6" s="1"/>
  <c r="P56" i="6" s="1"/>
  <c r="T56" i="6" s="1"/>
  <c r="M56" i="6"/>
  <c r="Q138" i="6"/>
  <c r="N138" i="6"/>
  <c r="I138" i="6"/>
  <c r="H44" i="6"/>
  <c r="M44" i="6"/>
  <c r="K44" i="6"/>
  <c r="O44" i="6" s="1"/>
  <c r="P44" i="6" s="1"/>
  <c r="T44" i="6" s="1"/>
  <c r="Q156" i="6"/>
  <c r="S156" i="6" s="1"/>
  <c r="V156" i="6" s="1"/>
  <c r="W157" i="5" s="1"/>
  <c r="Y157" i="5" s="1"/>
  <c r="I108" i="6"/>
  <c r="Q108" i="6"/>
  <c r="Q99" i="6"/>
  <c r="S99" i="6" s="1"/>
  <c r="N99" i="6"/>
  <c r="I99" i="6"/>
  <c r="O103" i="6"/>
  <c r="P103" i="6" s="1"/>
  <c r="T103" i="6" s="1"/>
  <c r="R103" i="6"/>
  <c r="S103" i="6" s="1"/>
  <c r="R92" i="6"/>
  <c r="S92" i="6" s="1"/>
  <c r="R13" i="6"/>
  <c r="O13" i="6"/>
  <c r="R43" i="6"/>
  <c r="S43" i="6" s="1"/>
  <c r="O43" i="6"/>
  <c r="O100" i="6"/>
  <c r="K10" i="6"/>
  <c r="O10" i="6" s="1"/>
  <c r="P10" i="6" s="1"/>
  <c r="T10" i="6" s="1"/>
  <c r="O94" i="6"/>
  <c r="R76" i="6"/>
  <c r="O76" i="6"/>
  <c r="P76" i="6" s="1"/>
  <c r="T76" i="6" s="1"/>
  <c r="V23" i="5"/>
  <c r="R22" i="8"/>
  <c r="O2" i="6"/>
  <c r="R2" i="6"/>
  <c r="J70" i="12"/>
  <c r="K70" i="12" s="1"/>
  <c r="H70" i="12"/>
  <c r="J138" i="12"/>
  <c r="K138" i="12" s="1"/>
  <c r="H138" i="12"/>
  <c r="J83" i="12"/>
  <c r="K83" i="12" s="1"/>
  <c r="H83" i="12"/>
  <c r="J116" i="12"/>
  <c r="K116" i="12" s="1"/>
  <c r="H116" i="12"/>
  <c r="Q137" i="6"/>
  <c r="I137" i="6"/>
  <c r="Q6" i="10"/>
  <c r="R6" i="10" s="1"/>
  <c r="Q70" i="10"/>
  <c r="R70" i="10" s="1"/>
  <c r="Y145" i="5"/>
  <c r="S27" i="6"/>
  <c r="U27" i="6" s="1"/>
  <c r="N172" i="6"/>
  <c r="Q172" i="6"/>
  <c r="S172" i="6" s="1"/>
  <c r="V172" i="6" s="1"/>
  <c r="W173" i="5" s="1"/>
  <c r="Y173" i="5" s="1"/>
  <c r="J172" i="6"/>
  <c r="M41" i="6"/>
  <c r="H41" i="6"/>
  <c r="K41" i="6" s="1"/>
  <c r="R173" i="6"/>
  <c r="S173" i="6" s="1"/>
  <c r="V173" i="6" s="1"/>
  <c r="W174" i="5" s="1"/>
  <c r="Y174" i="5" s="1"/>
  <c r="O173" i="6"/>
  <c r="P173" i="6" s="1"/>
  <c r="Q89" i="6"/>
  <c r="N89" i="6"/>
  <c r="Q109" i="6"/>
  <c r="S109" i="6" s="1"/>
  <c r="N109" i="6"/>
  <c r="I109" i="6"/>
  <c r="R98" i="6"/>
  <c r="S98" i="6" s="1"/>
  <c r="O98" i="6"/>
  <c r="P98" i="6" s="1"/>
  <c r="T98" i="6" s="1"/>
  <c r="Q16" i="6"/>
  <c r="N16" i="6"/>
  <c r="I16" i="6"/>
  <c r="I13" i="6"/>
  <c r="Q13" i="6"/>
  <c r="N13" i="6"/>
  <c r="J87" i="6"/>
  <c r="N87" i="6" s="1"/>
  <c r="M88" i="6"/>
  <c r="H88" i="6"/>
  <c r="K88" i="6" s="1"/>
  <c r="Q66" i="6"/>
  <c r="I66" i="6"/>
  <c r="N66" i="6"/>
  <c r="Q7" i="6"/>
  <c r="N7" i="6"/>
  <c r="I7" i="6"/>
  <c r="H96" i="6"/>
  <c r="M96" i="6"/>
  <c r="K96" i="6"/>
  <c r="Q82" i="6"/>
  <c r="S82" i="6" s="1"/>
  <c r="I82" i="6"/>
  <c r="N82" i="6"/>
  <c r="P82" i="6" s="1"/>
  <c r="T82" i="6" s="1"/>
  <c r="J31" i="12"/>
  <c r="K31" i="12" s="1"/>
  <c r="H31" i="12"/>
  <c r="J6" i="12"/>
  <c r="K6" i="12" s="1"/>
  <c r="H6" i="12"/>
  <c r="H107" i="12"/>
  <c r="J107" i="12"/>
  <c r="K107" i="12" s="1"/>
  <c r="H171" i="12"/>
  <c r="J171" i="12"/>
  <c r="K171" i="12" s="1"/>
  <c r="H139" i="12"/>
  <c r="J139" i="12"/>
  <c r="K139" i="12" s="1"/>
  <c r="H30" i="12"/>
  <c r="J30" i="12"/>
  <c r="K30" i="12" s="1"/>
  <c r="H35" i="12"/>
  <c r="J35" i="12"/>
  <c r="K35" i="12" s="1"/>
  <c r="J154" i="12"/>
  <c r="K154" i="12" s="1"/>
  <c r="H154" i="12"/>
  <c r="H86" i="12"/>
  <c r="J86" i="12"/>
  <c r="K86" i="12" s="1"/>
  <c r="J91" i="12"/>
  <c r="K91" i="12" s="1"/>
  <c r="H91" i="12"/>
  <c r="J161" i="12"/>
  <c r="K161" i="12" s="1"/>
  <c r="H161" i="12"/>
  <c r="H110" i="12"/>
  <c r="J110" i="12"/>
  <c r="K110" i="12" s="1"/>
  <c r="J132" i="12"/>
  <c r="K132" i="12" s="1"/>
  <c r="H132" i="12"/>
  <c r="J19" i="12"/>
  <c r="K19" i="12" s="1"/>
  <c r="H19" i="12"/>
  <c r="J105" i="12"/>
  <c r="K105" i="12" s="1"/>
  <c r="H105" i="12"/>
  <c r="J73" i="12"/>
  <c r="K73" i="12" s="1"/>
  <c r="H73" i="12"/>
  <c r="J41" i="12"/>
  <c r="K41" i="12" s="1"/>
  <c r="H41" i="12"/>
  <c r="J9" i="12"/>
  <c r="K9" i="12" s="1"/>
  <c r="H9" i="12"/>
  <c r="H100" i="12"/>
  <c r="J100" i="12"/>
  <c r="K100" i="12" s="1"/>
  <c r="H68" i="12"/>
  <c r="J68" i="12"/>
  <c r="K68" i="12" s="1"/>
  <c r="H36" i="12"/>
  <c r="J36" i="12"/>
  <c r="K36" i="12" s="1"/>
  <c r="H4" i="12"/>
  <c r="J4" i="12"/>
  <c r="K4" i="12" s="1"/>
  <c r="Q115" i="6"/>
  <c r="I115" i="6"/>
  <c r="N168" i="6"/>
  <c r="P168" i="6" s="1"/>
  <c r="I168" i="6"/>
  <c r="Q168" i="6"/>
  <c r="S168" i="6" s="1"/>
  <c r="V168" i="6" s="1"/>
  <c r="W169" i="5" s="1"/>
  <c r="Y169" i="5" s="1"/>
  <c r="M34" i="6"/>
  <c r="H34" i="6"/>
  <c r="I34" i="6" s="1"/>
  <c r="Q17" i="6"/>
  <c r="N17" i="6"/>
  <c r="I120" i="6"/>
  <c r="K120" i="6"/>
  <c r="O120" i="6" s="1"/>
  <c r="R120" i="6"/>
  <c r="H36" i="6"/>
  <c r="I36" i="6" s="1"/>
  <c r="M36" i="6"/>
  <c r="K157" i="6"/>
  <c r="O157" i="6" s="1"/>
  <c r="Q9" i="6"/>
  <c r="N9" i="6"/>
  <c r="N43" i="6"/>
  <c r="I43" i="6"/>
  <c r="I174" i="6"/>
  <c r="Q174" i="6"/>
  <c r="S174" i="6" s="1"/>
  <c r="V174" i="6" s="1"/>
  <c r="W175" i="5" s="1"/>
  <c r="N174" i="6"/>
  <c r="P174" i="6" s="1"/>
  <c r="Q51" i="6"/>
  <c r="N51" i="6"/>
  <c r="P51" i="6" s="1"/>
  <c r="T51" i="6" s="1"/>
  <c r="I51" i="6"/>
  <c r="Q72" i="6"/>
  <c r="I72" i="6"/>
  <c r="H25" i="6"/>
  <c r="K25" i="6" s="1"/>
  <c r="M25" i="6"/>
  <c r="N24" i="6"/>
  <c r="I24" i="6"/>
  <c r="Q24" i="6"/>
  <c r="S24" i="6" s="1"/>
  <c r="H23" i="6"/>
  <c r="K23" i="6" s="1"/>
  <c r="M23" i="6"/>
  <c r="Q140" i="6"/>
  <c r="S140" i="6" s="1"/>
  <c r="V140" i="6" s="1"/>
  <c r="W141" i="5" s="1"/>
  <c r="Y141" i="5" s="1"/>
  <c r="N140" i="6"/>
  <c r="P140" i="6" s="1"/>
  <c r="I140" i="6"/>
  <c r="R45" i="6"/>
  <c r="S45" i="6" s="1"/>
  <c r="O45" i="6"/>
  <c r="Q42" i="6"/>
  <c r="S42" i="6" s="1"/>
  <c r="N42" i="6"/>
  <c r="I42" i="6"/>
  <c r="Q36" i="6"/>
  <c r="N36" i="6"/>
  <c r="R93" i="6"/>
  <c r="S93" i="6" s="1"/>
  <c r="R21" i="6"/>
  <c r="S21" i="6" s="1"/>
  <c r="R86" i="6"/>
  <c r="O86" i="6"/>
  <c r="R65" i="6"/>
  <c r="O65" i="6"/>
  <c r="O95" i="6"/>
  <c r="R95" i="6"/>
  <c r="K80" i="6"/>
  <c r="O80" i="6" s="1"/>
  <c r="P80" i="6" s="1"/>
  <c r="T80" i="6" s="1"/>
  <c r="P172" i="6"/>
  <c r="J140" i="12"/>
  <c r="K140" i="12" s="1"/>
  <c r="H140" i="12"/>
  <c r="H22" i="12"/>
  <c r="J22" i="12"/>
  <c r="K22" i="12" s="1"/>
  <c r="J89" i="12"/>
  <c r="K89" i="12" s="1"/>
  <c r="H89" i="12"/>
  <c r="J52" i="12"/>
  <c r="K52" i="12" s="1"/>
  <c r="H52" i="12"/>
  <c r="K124" i="6"/>
  <c r="O124" i="6" s="1"/>
  <c r="P124" i="6" s="1"/>
  <c r="R124" i="6"/>
  <c r="R138" i="6"/>
  <c r="S138" i="6" s="1"/>
  <c r="V138" i="6" s="1"/>
  <c r="W139" i="5" s="1"/>
  <c r="Y139" i="5" s="1"/>
  <c r="R61" i="6"/>
  <c r="O61" i="6"/>
  <c r="P92" i="6"/>
  <c r="T92" i="6" s="1"/>
  <c r="I57" i="6"/>
  <c r="P27" i="6"/>
  <c r="T27" i="6" s="1"/>
  <c r="I158" i="6"/>
  <c r="Q158" i="6"/>
  <c r="J158" i="6"/>
  <c r="N158" i="6" s="1"/>
  <c r="P158" i="6" s="1"/>
  <c r="H32" i="6"/>
  <c r="I32" i="6" s="1"/>
  <c r="M32" i="6"/>
  <c r="Q4" i="6"/>
  <c r="N4" i="6"/>
  <c r="I4" i="6"/>
  <c r="Q128" i="6"/>
  <c r="S128" i="6" s="1"/>
  <c r="V128" i="6" s="1"/>
  <c r="W129" i="5" s="1"/>
  <c r="Y129" i="5" s="1"/>
  <c r="N128" i="6"/>
  <c r="P128" i="6" s="1"/>
  <c r="I117" i="6"/>
  <c r="J117" i="6"/>
  <c r="N117" i="6" s="1"/>
  <c r="P117" i="6" s="1"/>
  <c r="Q117" i="6"/>
  <c r="S117" i="6" s="1"/>
  <c r="V117" i="6" s="1"/>
  <c r="W118" i="5" s="1"/>
  <c r="Y118" i="5" s="1"/>
  <c r="L118" i="12" s="1"/>
  <c r="Z118" i="5" s="1"/>
  <c r="AA118" i="5" s="1"/>
  <c r="N71" i="6"/>
  <c r="P71" i="6" s="1"/>
  <c r="T71" i="6" s="1"/>
  <c r="I71" i="6"/>
  <c r="Q12" i="6"/>
  <c r="S12" i="6" s="1"/>
  <c r="N12" i="6"/>
  <c r="I12" i="6"/>
  <c r="Q104" i="6"/>
  <c r="N104" i="6"/>
  <c r="I104" i="6"/>
  <c r="R132" i="6"/>
  <c r="S132" i="6" s="1"/>
  <c r="V132" i="6" s="1"/>
  <c r="W133" i="5" s="1"/>
  <c r="Y133" i="5" s="1"/>
  <c r="K132" i="6"/>
  <c r="O132" i="6" s="1"/>
  <c r="P132" i="6" s="1"/>
  <c r="J160" i="12"/>
  <c r="K160" i="12" s="1"/>
  <c r="H160" i="12"/>
  <c r="J144" i="12"/>
  <c r="K144" i="12" s="1"/>
  <c r="H144" i="12"/>
  <c r="H82" i="12"/>
  <c r="J82" i="12"/>
  <c r="K82" i="12" s="1"/>
  <c r="J167" i="12"/>
  <c r="K167" i="12" s="1"/>
  <c r="H167" i="12"/>
  <c r="J135" i="12"/>
  <c r="K135" i="12" s="1"/>
  <c r="H135" i="12"/>
  <c r="J23" i="12"/>
  <c r="K23" i="12" s="1"/>
  <c r="H23" i="12"/>
  <c r="H10" i="12"/>
  <c r="J10" i="12"/>
  <c r="K10" i="12" s="1"/>
  <c r="H150" i="12"/>
  <c r="J150" i="12"/>
  <c r="K150" i="12" s="1"/>
  <c r="J79" i="12"/>
  <c r="K79" i="12" s="1"/>
  <c r="H79" i="12"/>
  <c r="J66" i="12"/>
  <c r="K66" i="12" s="1"/>
  <c r="H66" i="12"/>
  <c r="H157" i="12"/>
  <c r="J157" i="12"/>
  <c r="K157" i="12" s="1"/>
  <c r="J103" i="12"/>
  <c r="K103" i="12" s="1"/>
  <c r="H103" i="12"/>
  <c r="J122" i="12"/>
  <c r="K122" i="12" s="1"/>
  <c r="H122" i="12"/>
  <c r="H133" i="12"/>
  <c r="J133" i="12"/>
  <c r="K133" i="12" s="1"/>
  <c r="J101" i="12"/>
  <c r="K101" i="12" s="1"/>
  <c r="H101" i="12"/>
  <c r="J69" i="12"/>
  <c r="K69" i="12" s="1"/>
  <c r="H69" i="12"/>
  <c r="J37" i="12"/>
  <c r="K37" i="12" s="1"/>
  <c r="H37" i="12"/>
  <c r="J5" i="12"/>
  <c r="K5" i="12" s="1"/>
  <c r="H5" i="12"/>
  <c r="J96" i="12"/>
  <c r="K96" i="12" s="1"/>
  <c r="H96" i="12"/>
  <c r="J64" i="12"/>
  <c r="K64" i="12" s="1"/>
  <c r="H64" i="12"/>
  <c r="J32" i="12"/>
  <c r="K32" i="12" s="1"/>
  <c r="H32" i="12"/>
  <c r="Q107" i="6"/>
  <c r="N107" i="6"/>
  <c r="S157" i="6"/>
  <c r="V157" i="6" s="1"/>
  <c r="W158" i="5" s="1"/>
  <c r="Y158" i="5" s="1"/>
  <c r="H29" i="6"/>
  <c r="I29" i="6" s="1"/>
  <c r="M29" i="6"/>
  <c r="H69" i="6"/>
  <c r="K69" i="6" s="1"/>
  <c r="M69" i="6"/>
  <c r="M53" i="6"/>
  <c r="H53" i="6"/>
  <c r="P102" i="6"/>
  <c r="T102" i="6" s="1"/>
  <c r="P31" i="6"/>
  <c r="T31" i="6" s="1"/>
  <c r="J125" i="6"/>
  <c r="M17" i="6"/>
  <c r="H17" i="6"/>
  <c r="K17" i="6" s="1"/>
  <c r="Q139" i="6"/>
  <c r="S139" i="6" s="1"/>
  <c r="V139" i="6" s="1"/>
  <c r="W140" i="5" s="1"/>
  <c r="Y140" i="5" s="1"/>
  <c r="L140" i="12" s="1"/>
  <c r="Z140" i="5" s="1"/>
  <c r="AA140" i="5" s="1"/>
  <c r="J139" i="6"/>
  <c r="N139" i="6" s="1"/>
  <c r="P139" i="6" s="1"/>
  <c r="I139" i="6"/>
  <c r="Q119" i="6"/>
  <c r="S119" i="6" s="1"/>
  <c r="V119" i="6" s="1"/>
  <c r="W120" i="5" s="1"/>
  <c r="Y120" i="5" s="1"/>
  <c r="I119" i="6"/>
  <c r="R147" i="6"/>
  <c r="O113" i="6"/>
  <c r="R113" i="6"/>
  <c r="P110" i="6"/>
  <c r="T110" i="6" s="1"/>
  <c r="R18" i="6"/>
  <c r="O18" i="6"/>
  <c r="P42" i="6"/>
  <c r="T42" i="6" s="1"/>
  <c r="R33" i="6"/>
  <c r="S33" i="6" s="1"/>
  <c r="O33" i="6"/>
  <c r="P33" i="6" s="1"/>
  <c r="T33" i="6" s="1"/>
  <c r="R54" i="6"/>
  <c r="S57" i="6"/>
  <c r="U57" i="6" s="1"/>
  <c r="Q112" i="6"/>
  <c r="N112" i="6"/>
  <c r="P112" i="6" s="1"/>
  <c r="T112" i="6" s="1"/>
  <c r="I112" i="6"/>
  <c r="Q143" i="6"/>
  <c r="N143" i="6"/>
  <c r="I143" i="6"/>
  <c r="N69" i="6"/>
  <c r="Q69" i="6"/>
  <c r="F176" i="9"/>
  <c r="G2" i="9"/>
  <c r="H2" i="9" s="1"/>
  <c r="X3" i="5" s="1"/>
  <c r="R118" i="6"/>
  <c r="S118" i="6" s="1"/>
  <c r="V118" i="6" s="1"/>
  <c r="W119" i="5" s="1"/>
  <c r="Y119" i="5" s="1"/>
  <c r="K118" i="6"/>
  <c r="O118" i="6"/>
  <c r="P118" i="6" s="1"/>
  <c r="J170" i="12"/>
  <c r="K170" i="12" s="1"/>
  <c r="H170" i="12"/>
  <c r="J121" i="12"/>
  <c r="K121" i="12" s="1"/>
  <c r="H121" i="12"/>
  <c r="I54" i="6"/>
  <c r="J54" i="6"/>
  <c r="N54" i="6" s="1"/>
  <c r="P54" i="6" s="1"/>
  <c r="T54" i="6" s="1"/>
  <c r="Q54" i="6"/>
  <c r="R66" i="6"/>
  <c r="O66" i="6"/>
  <c r="R72" i="6"/>
  <c r="S73" i="6"/>
  <c r="U73" i="6" s="1"/>
  <c r="P19" i="6"/>
  <c r="T19" i="6" s="1"/>
  <c r="S134" i="6"/>
  <c r="V134" i="6" s="1"/>
  <c r="W135" i="5" s="1"/>
  <c r="Y135" i="5" s="1"/>
  <c r="P126" i="6"/>
  <c r="Q123" i="6"/>
  <c r="S123" i="6" s="1"/>
  <c r="V123" i="6" s="1"/>
  <c r="W124" i="5" s="1"/>
  <c r="Y124" i="5" s="1"/>
  <c r="I123" i="6"/>
  <c r="J112" i="6"/>
  <c r="Q64" i="6"/>
  <c r="I64" i="6"/>
  <c r="N64" i="6"/>
  <c r="Q136" i="6"/>
  <c r="S136" i="6" s="1"/>
  <c r="V136" i="6" s="1"/>
  <c r="W137" i="5" s="1"/>
  <c r="Y137" i="5" s="1"/>
  <c r="N136" i="6"/>
  <c r="P136" i="6" s="1"/>
  <c r="I136" i="6"/>
  <c r="Q3" i="6"/>
  <c r="N3" i="6"/>
  <c r="I3" i="6"/>
  <c r="H30" i="6"/>
  <c r="K30" i="6" s="1"/>
  <c r="M30" i="6"/>
  <c r="K153" i="6"/>
  <c r="O153" i="6" s="1"/>
  <c r="P153" i="6" s="1"/>
  <c r="R153" i="6"/>
  <c r="N18" i="6"/>
  <c r="I18" i="6"/>
  <c r="H46" i="6"/>
  <c r="K46" i="6" s="1"/>
  <c r="O46" i="6" s="1"/>
  <c r="P46" i="6" s="1"/>
  <c r="T46" i="6" s="1"/>
  <c r="M46" i="6"/>
  <c r="Q53" i="6"/>
  <c r="N53" i="6"/>
  <c r="J113" i="6"/>
  <c r="N113" i="6" s="1"/>
  <c r="Q131" i="6"/>
  <c r="S131" i="6" s="1"/>
  <c r="V131" i="6" s="1"/>
  <c r="W132" i="5" s="1"/>
  <c r="Y132" i="5" s="1"/>
  <c r="L132" i="12" s="1"/>
  <c r="Z132" i="5" s="1"/>
  <c r="AA132" i="5" s="1"/>
  <c r="I131" i="6"/>
  <c r="J127" i="12"/>
  <c r="K127" i="12" s="1"/>
  <c r="H127" i="12"/>
  <c r="J102" i="12"/>
  <c r="K102" i="12" s="1"/>
  <c r="H102" i="12"/>
  <c r="H75" i="12"/>
  <c r="J75" i="12"/>
  <c r="K75" i="12" s="1"/>
  <c r="H163" i="12"/>
  <c r="J163" i="12"/>
  <c r="K163" i="12" s="1"/>
  <c r="H126" i="12"/>
  <c r="J126" i="12"/>
  <c r="K126" i="12" s="1"/>
  <c r="H130" i="12"/>
  <c r="J130" i="12"/>
  <c r="K130" i="12" s="1"/>
  <c r="H3" i="12"/>
  <c r="J3" i="12"/>
  <c r="K3" i="12" s="1"/>
  <c r="J146" i="12"/>
  <c r="K146" i="12" s="1"/>
  <c r="H146" i="12"/>
  <c r="H54" i="12"/>
  <c r="J54" i="12"/>
  <c r="K54" i="12" s="1"/>
  <c r="J59" i="12"/>
  <c r="K59" i="12" s="1"/>
  <c r="H59" i="12"/>
  <c r="J153" i="12"/>
  <c r="K153" i="12" s="1"/>
  <c r="H153" i="12"/>
  <c r="H78" i="12"/>
  <c r="J78" i="12"/>
  <c r="K78" i="12" s="1"/>
  <c r="J115" i="12"/>
  <c r="K115" i="12" s="1"/>
  <c r="H115" i="12"/>
  <c r="J129" i="12"/>
  <c r="K129" i="12" s="1"/>
  <c r="H129" i="12"/>
  <c r="J97" i="12"/>
  <c r="K97" i="12" s="1"/>
  <c r="H97" i="12"/>
  <c r="J65" i="12"/>
  <c r="K65" i="12" s="1"/>
  <c r="H65" i="12"/>
  <c r="J33" i="12"/>
  <c r="K33" i="12" s="1"/>
  <c r="H33" i="12"/>
  <c r="H124" i="12"/>
  <c r="J124" i="12"/>
  <c r="K124" i="12" s="1"/>
  <c r="H92" i="12"/>
  <c r="J92" i="12"/>
  <c r="K92" i="12" s="1"/>
  <c r="H60" i="12"/>
  <c r="J60" i="12"/>
  <c r="K60" i="12" s="1"/>
  <c r="H28" i="12"/>
  <c r="J28" i="12"/>
  <c r="K28" i="12" s="1"/>
  <c r="H5" i="6"/>
  <c r="K5" i="6" s="1"/>
  <c r="O5" i="6" s="1"/>
  <c r="P5" i="6" s="1"/>
  <c r="T5" i="6" s="1"/>
  <c r="M5" i="6"/>
  <c r="Q63" i="6"/>
  <c r="I63" i="6"/>
  <c r="I161" i="6"/>
  <c r="Q161" i="6"/>
  <c r="S161" i="6" s="1"/>
  <c r="V161" i="6" s="1"/>
  <c r="W162" i="5" s="1"/>
  <c r="J161" i="6"/>
  <c r="N161" i="6" s="1"/>
  <c r="P161" i="6" s="1"/>
  <c r="I153" i="6"/>
  <c r="Q153" i="6"/>
  <c r="S153" i="6" s="1"/>
  <c r="V153" i="6" s="1"/>
  <c r="W154" i="5" s="1"/>
  <c r="Y154" i="5" s="1"/>
  <c r="L154" i="12" s="1"/>
  <c r="Z154" i="5" s="1"/>
  <c r="AA154" i="5" s="1"/>
  <c r="Q105" i="6"/>
  <c r="N105" i="6"/>
  <c r="J96" i="6"/>
  <c r="H81" i="6"/>
  <c r="M81" i="6"/>
  <c r="I76" i="6"/>
  <c r="Q76" i="6"/>
  <c r="S76" i="6" s="1"/>
  <c r="I122" i="6"/>
  <c r="K138" i="6"/>
  <c r="O138" i="6" s="1"/>
  <c r="H40" i="6"/>
  <c r="I40" i="6" s="1"/>
  <c r="M40" i="6"/>
  <c r="J59" i="6"/>
  <c r="H28" i="6"/>
  <c r="K28" i="6" s="1"/>
  <c r="O28" i="6" s="1"/>
  <c r="P28" i="6" s="1"/>
  <c r="T28" i="6" s="1"/>
  <c r="M28" i="6"/>
  <c r="I145" i="6"/>
  <c r="K12" i="6"/>
  <c r="O12" i="6" s="1"/>
  <c r="S31" i="6"/>
  <c r="R35" i="6"/>
  <c r="O35" i="6"/>
  <c r="K57" i="6"/>
  <c r="O57" i="6" s="1"/>
  <c r="P57" i="6" s="1"/>
  <c r="T57" i="6" s="1"/>
  <c r="R15" i="6"/>
  <c r="O15" i="6"/>
  <c r="K85" i="6"/>
  <c r="R63" i="6"/>
  <c r="S63" i="6" s="1"/>
  <c r="K72" i="6"/>
  <c r="O72" i="6" s="1"/>
  <c r="P72" i="6" s="1"/>
  <c r="T72" i="6" s="1"/>
  <c r="R59" i="6"/>
  <c r="O59" i="6"/>
  <c r="P59" i="6" s="1"/>
  <c r="T59" i="6" s="1"/>
  <c r="P101" i="6"/>
  <c r="T101" i="6" s="1"/>
  <c r="K39" i="10"/>
  <c r="L39" i="10" s="1"/>
  <c r="U40" i="5" s="1"/>
  <c r="Q80" i="10"/>
  <c r="R80" i="10" s="1"/>
  <c r="Q46" i="10"/>
  <c r="R46" i="10" s="1"/>
  <c r="K103" i="10"/>
  <c r="L103" i="10" s="1"/>
  <c r="U104" i="5" s="1"/>
  <c r="Q16" i="10"/>
  <c r="R16" i="10" s="1"/>
  <c r="K84" i="10"/>
  <c r="L84" i="10" s="1"/>
  <c r="U85" i="5" s="1"/>
  <c r="K20" i="10"/>
  <c r="L20" i="10" s="1"/>
  <c r="U21" i="5" s="1"/>
  <c r="Q110" i="10"/>
  <c r="R110" i="10" s="1"/>
  <c r="G121" i="10"/>
  <c r="G122" i="10"/>
  <c r="Q30" i="10"/>
  <c r="R30" i="10" s="1"/>
  <c r="Q94" i="10"/>
  <c r="R94" i="10" s="1"/>
  <c r="K23" i="10"/>
  <c r="L23" i="10" s="1"/>
  <c r="U24" i="5" s="1"/>
  <c r="K87" i="10"/>
  <c r="L87" i="10" s="1"/>
  <c r="U88" i="5" s="1"/>
  <c r="Q78" i="10"/>
  <c r="R78" i="10" s="1"/>
  <c r="K7" i="10"/>
  <c r="L7" i="10" s="1"/>
  <c r="U8" i="5" s="1"/>
  <c r="K71" i="10"/>
  <c r="L71" i="10" s="1"/>
  <c r="U72" i="5" s="1"/>
  <c r="J2" i="10"/>
  <c r="K2" i="10" s="1"/>
  <c r="L2" i="10" s="1"/>
  <c r="U3" i="5" s="1"/>
  <c r="Q14" i="10"/>
  <c r="R14" i="10" s="1"/>
  <c r="Q62" i="10"/>
  <c r="R62" i="10" s="1"/>
  <c r="K55" i="10"/>
  <c r="L55" i="10" s="1"/>
  <c r="U56" i="5" s="1"/>
  <c r="Q21" i="10"/>
  <c r="R21" i="10" s="1"/>
  <c r="Q37" i="10"/>
  <c r="R37" i="10" s="1"/>
  <c r="Q53" i="10"/>
  <c r="R53" i="10" s="1"/>
  <c r="Q69" i="10"/>
  <c r="R69" i="10" s="1"/>
  <c r="Q85" i="10"/>
  <c r="R85" i="10" s="1"/>
  <c r="Q101" i="10"/>
  <c r="R101" i="10" s="1"/>
  <c r="G120" i="10"/>
  <c r="S151" i="6"/>
  <c r="V151" i="6" s="1"/>
  <c r="W152" i="5" s="1"/>
  <c r="Y152" i="5" s="1"/>
  <c r="L152" i="12" s="1"/>
  <c r="Z152" i="5" s="1"/>
  <c r="AA152" i="5" s="1"/>
  <c r="S169" i="6"/>
  <c r="V169" i="6" s="1"/>
  <c r="W170" i="5" s="1"/>
  <c r="S160" i="6"/>
  <c r="V160" i="6" s="1"/>
  <c r="W161" i="5" s="1"/>
  <c r="P160" i="6"/>
  <c r="P162" i="6"/>
  <c r="S162" i="6"/>
  <c r="V162" i="6" s="1"/>
  <c r="W163" i="5" s="1"/>
  <c r="Y163" i="5" s="1"/>
  <c r="V57" i="6"/>
  <c r="W58" i="5" s="1"/>
  <c r="Y58" i="5" s="1"/>
  <c r="V19" i="6"/>
  <c r="W20" i="5" s="1"/>
  <c r="Y20" i="5" s="1"/>
  <c r="U19" i="6"/>
  <c r="V80" i="6"/>
  <c r="W81" i="5" s="1"/>
  <c r="Y81" i="5" s="1"/>
  <c r="U80" i="6"/>
  <c r="K3" i="10"/>
  <c r="L3" i="10" s="1"/>
  <c r="U4" i="5" s="1"/>
  <c r="Q3" i="10"/>
  <c r="R3" i="10" s="1"/>
  <c r="I177" i="4"/>
  <c r="L142" i="12" l="1"/>
  <c r="Z142" i="5" s="1"/>
  <c r="AA142" i="5" s="1"/>
  <c r="R40" i="8"/>
  <c r="V41" i="5"/>
  <c r="R7" i="8"/>
  <c r="V8" i="5"/>
  <c r="L157" i="12"/>
  <c r="Z157" i="5" s="1"/>
  <c r="AA157" i="5" s="1"/>
  <c r="P113" i="6"/>
  <c r="T113" i="6" s="1"/>
  <c r="V18" i="5"/>
  <c r="R17" i="8"/>
  <c r="U20" i="6"/>
  <c r="L135" i="12"/>
  <c r="Z135" i="5" s="1"/>
  <c r="AA135" i="5" s="1"/>
  <c r="S54" i="6"/>
  <c r="S18" i="6"/>
  <c r="R53" i="6"/>
  <c r="K36" i="6"/>
  <c r="K34" i="6"/>
  <c r="O34" i="6" s="1"/>
  <c r="P34" i="6" s="1"/>
  <c r="T34" i="6" s="1"/>
  <c r="I89" i="6"/>
  <c r="S108" i="6"/>
  <c r="P147" i="6"/>
  <c r="S100" i="6"/>
  <c r="U100" i="6" s="1"/>
  <c r="I106" i="6"/>
  <c r="Y128" i="5"/>
  <c r="R50" i="8"/>
  <c r="V51" i="5"/>
  <c r="S112" i="6"/>
  <c r="P87" i="6"/>
  <c r="T87" i="6" s="1"/>
  <c r="Y153" i="5"/>
  <c r="L153" i="12" s="1"/>
  <c r="Z153" i="5" s="1"/>
  <c r="AA153" i="5" s="1"/>
  <c r="V27" i="6"/>
  <c r="W28" i="5" s="1"/>
  <c r="Y28" i="5" s="1"/>
  <c r="L28" i="12" s="1"/>
  <c r="Z28" i="5" s="1"/>
  <c r="AA28" i="5" s="1"/>
  <c r="S147" i="6"/>
  <c r="V147" i="6" s="1"/>
  <c r="W148" i="5" s="1"/>
  <c r="Y148" i="5" s="1"/>
  <c r="L167" i="12"/>
  <c r="Z167" i="5" s="1"/>
  <c r="AA167" i="5" s="1"/>
  <c r="S158" i="6"/>
  <c r="V158" i="6" s="1"/>
  <c r="W159" i="5" s="1"/>
  <c r="Y159" i="5" s="1"/>
  <c r="L159" i="12" s="1"/>
  <c r="Z159" i="5" s="1"/>
  <c r="AA159" i="5" s="1"/>
  <c r="S124" i="6"/>
  <c r="V124" i="6" s="1"/>
  <c r="W125" i="5" s="1"/>
  <c r="Y125" i="5" s="1"/>
  <c r="L125" i="12" s="1"/>
  <c r="Z125" i="5" s="1"/>
  <c r="AA125" i="5" s="1"/>
  <c r="R9" i="6"/>
  <c r="S94" i="6"/>
  <c r="S47" i="6"/>
  <c r="I6" i="6"/>
  <c r="Y172" i="5"/>
  <c r="L172" i="12" s="1"/>
  <c r="Z172" i="5" s="1"/>
  <c r="AA172" i="5" s="1"/>
  <c r="Y143" i="5"/>
  <c r="L143" i="12" s="1"/>
  <c r="Z143" i="5" s="1"/>
  <c r="AA143" i="5" s="1"/>
  <c r="S150" i="6"/>
  <c r="V150" i="6" s="1"/>
  <c r="W151" i="5" s="1"/>
  <c r="Y151" i="5" s="1"/>
  <c r="L151" i="12" s="1"/>
  <c r="Z151" i="5" s="1"/>
  <c r="AA151" i="5" s="1"/>
  <c r="L168" i="12"/>
  <c r="Z168" i="5" s="1"/>
  <c r="AA168" i="5" s="1"/>
  <c r="S11" i="6"/>
  <c r="O58" i="8"/>
  <c r="L131" i="12"/>
  <c r="Z131" i="5" s="1"/>
  <c r="AA131" i="5" s="1"/>
  <c r="Y21" i="5"/>
  <c r="L21" i="12" s="1"/>
  <c r="Z21" i="5" s="1"/>
  <c r="AA21" i="5" s="1"/>
  <c r="Y156" i="5"/>
  <c r="L156" i="12" s="1"/>
  <c r="Z156" i="5" s="1"/>
  <c r="AA156" i="5" s="1"/>
  <c r="Y166" i="5"/>
  <c r="L166" i="12" s="1"/>
  <c r="Z166" i="5" s="1"/>
  <c r="Y175" i="5"/>
  <c r="L175" i="12" s="1"/>
  <c r="Z175" i="5" s="1"/>
  <c r="AA175" i="5" s="1"/>
  <c r="Y162" i="5"/>
  <c r="L162" i="12" s="1"/>
  <c r="Z162" i="5" s="1"/>
  <c r="AA162" i="5" s="1"/>
  <c r="L126" i="12"/>
  <c r="Z126" i="5" s="1"/>
  <c r="AA126" i="5" s="1"/>
  <c r="V33" i="6"/>
  <c r="W34" i="5" s="1"/>
  <c r="Y34" i="5" s="1"/>
  <c r="L34" i="12" s="1"/>
  <c r="Z34" i="5" s="1"/>
  <c r="U33" i="6"/>
  <c r="U116" i="6"/>
  <c r="U87" i="6"/>
  <c r="P15" i="6"/>
  <c r="T15" i="6" s="1"/>
  <c r="I105" i="6"/>
  <c r="L124" i="12"/>
  <c r="Z124" i="5" s="1"/>
  <c r="AA124" i="5" s="1"/>
  <c r="L148" i="12"/>
  <c r="Z148" i="5" s="1"/>
  <c r="AA148" i="5" s="1"/>
  <c r="S53" i="6"/>
  <c r="U53" i="6" s="1"/>
  <c r="L129" i="12"/>
  <c r="Z129" i="5" s="1"/>
  <c r="AA129" i="5" s="1"/>
  <c r="K32" i="6"/>
  <c r="P45" i="6"/>
  <c r="T45" i="6" s="1"/>
  <c r="L141" i="12"/>
  <c r="Z141" i="5" s="1"/>
  <c r="AA141" i="5" s="1"/>
  <c r="I9" i="6"/>
  <c r="S16" i="6"/>
  <c r="V16" i="6" s="1"/>
  <c r="W17" i="5" s="1"/>
  <c r="Y17" i="5" s="1"/>
  <c r="L17" i="12" s="1"/>
  <c r="Z17" i="5" s="1"/>
  <c r="L127" i="12"/>
  <c r="Z127" i="5" s="1"/>
  <c r="AA127" i="5" s="1"/>
  <c r="P94" i="6"/>
  <c r="T94" i="6" s="1"/>
  <c r="P90" i="6"/>
  <c r="T90" i="6" s="1"/>
  <c r="P99" i="6"/>
  <c r="T99" i="6" s="1"/>
  <c r="K37" i="6"/>
  <c r="O37" i="6" s="1"/>
  <c r="P37" i="6" s="1"/>
  <c r="T37" i="6" s="1"/>
  <c r="S137" i="6"/>
  <c r="V137" i="6" s="1"/>
  <c r="W138" i="5" s="1"/>
  <c r="R39" i="6"/>
  <c r="S39" i="6" s="1"/>
  <c r="S159" i="6"/>
  <c r="V159" i="6" s="1"/>
  <c r="W160" i="5" s="1"/>
  <c r="Y160" i="5" s="1"/>
  <c r="L160" i="12" s="1"/>
  <c r="Z160" i="5" s="1"/>
  <c r="AA160" i="5" s="1"/>
  <c r="I56" i="6"/>
  <c r="K14" i="6"/>
  <c r="O14" i="6" s="1"/>
  <c r="P14" i="6" s="1"/>
  <c r="T14" i="6" s="1"/>
  <c r="I83" i="6"/>
  <c r="P138" i="6"/>
  <c r="L169" i="12"/>
  <c r="Z169" i="5" s="1"/>
  <c r="AA169" i="5" s="1"/>
  <c r="K9" i="6"/>
  <c r="O9" i="6" s="1"/>
  <c r="P22" i="6"/>
  <c r="T22" i="6" s="1"/>
  <c r="L155" i="12"/>
  <c r="Z155" i="5" s="1"/>
  <c r="AA155" i="5" s="1"/>
  <c r="R14" i="6"/>
  <c r="S14" i="6" s="1"/>
  <c r="U14" i="6" s="1"/>
  <c r="Y164" i="5"/>
  <c r="L164" i="12" s="1"/>
  <c r="Z164" i="5" s="1"/>
  <c r="AA164" i="5" s="1"/>
  <c r="P120" i="6"/>
  <c r="S102" i="6"/>
  <c r="I70" i="6"/>
  <c r="Y165" i="5"/>
  <c r="L165" i="12" s="1"/>
  <c r="Z165" i="5" s="1"/>
  <c r="AA165" i="5" s="1"/>
  <c r="L119" i="12"/>
  <c r="Z119" i="5" s="1"/>
  <c r="AA119" i="5" s="1"/>
  <c r="L137" i="12"/>
  <c r="Z137" i="5" s="1"/>
  <c r="AA137" i="5" s="1"/>
  <c r="L133" i="12"/>
  <c r="Z133" i="5" s="1"/>
  <c r="AA133" i="5" s="1"/>
  <c r="V98" i="6"/>
  <c r="W99" i="5" s="1"/>
  <c r="Y99" i="5" s="1"/>
  <c r="L99" i="12" s="1"/>
  <c r="Z99" i="5" s="1"/>
  <c r="U98" i="6"/>
  <c r="V38" i="6"/>
  <c r="W39" i="5" s="1"/>
  <c r="Y39" i="5" s="1"/>
  <c r="L39" i="12" s="1"/>
  <c r="Z39" i="5" s="1"/>
  <c r="AA39" i="5" s="1"/>
  <c r="U38" i="6"/>
  <c r="V112" i="6"/>
  <c r="W113" i="5" s="1"/>
  <c r="Y113" i="5" s="1"/>
  <c r="L113" i="12" s="1"/>
  <c r="Z113" i="5" s="1"/>
  <c r="AA113" i="5" s="1"/>
  <c r="U112" i="6"/>
  <c r="V92" i="6"/>
  <c r="W93" i="5" s="1"/>
  <c r="Y93" i="5" s="1"/>
  <c r="L93" i="12" s="1"/>
  <c r="Z93" i="5" s="1"/>
  <c r="AA93" i="5" s="1"/>
  <c r="U92" i="6"/>
  <c r="Q2" i="10"/>
  <c r="R2" i="10" s="1"/>
  <c r="R117" i="10" s="1"/>
  <c r="V73" i="6"/>
  <c r="W74" i="5" s="1"/>
  <c r="Y74" i="5" s="1"/>
  <c r="L74" i="12" s="1"/>
  <c r="Z74" i="5" s="1"/>
  <c r="L163" i="12"/>
  <c r="Z163" i="5" s="1"/>
  <c r="AA163" i="5" s="1"/>
  <c r="I53" i="6"/>
  <c r="V101" i="6"/>
  <c r="W102" i="5" s="1"/>
  <c r="Y102" i="5" s="1"/>
  <c r="U101" i="6"/>
  <c r="K53" i="6"/>
  <c r="O53" i="6" s="1"/>
  <c r="P53" i="6" s="1"/>
  <c r="T53" i="6" s="1"/>
  <c r="L150" i="12"/>
  <c r="Z150" i="5" s="1"/>
  <c r="AA150" i="5" s="1"/>
  <c r="P12" i="6"/>
  <c r="T12" i="6" s="1"/>
  <c r="O23" i="6"/>
  <c r="P23" i="6" s="1"/>
  <c r="T23" i="6" s="1"/>
  <c r="R23" i="6"/>
  <c r="S72" i="6"/>
  <c r="R36" i="6"/>
  <c r="O36" i="6"/>
  <c r="P36" i="6" s="1"/>
  <c r="T36" i="6" s="1"/>
  <c r="R34" i="6"/>
  <c r="S34" i="6" s="1"/>
  <c r="O96" i="6"/>
  <c r="P96" i="6" s="1"/>
  <c r="T96" i="6" s="1"/>
  <c r="R96" i="6"/>
  <c r="S96" i="6" s="1"/>
  <c r="R88" i="6"/>
  <c r="O88" i="6"/>
  <c r="P88" i="6" s="1"/>
  <c r="T88" i="6" s="1"/>
  <c r="V103" i="6"/>
  <c r="W104" i="5" s="1"/>
  <c r="Y104" i="5" s="1"/>
  <c r="L104" i="12" s="1"/>
  <c r="Z104" i="5" s="1"/>
  <c r="AA104" i="5" s="1"/>
  <c r="U103" i="6"/>
  <c r="I46" i="6"/>
  <c r="S143" i="6"/>
  <c r="V143" i="6" s="1"/>
  <c r="W144" i="5" s="1"/>
  <c r="Y144" i="5" s="1"/>
  <c r="L144" i="12" s="1"/>
  <c r="Z144" i="5" s="1"/>
  <c r="AA144" i="5" s="1"/>
  <c r="K97" i="6"/>
  <c r="O97" i="6" s="1"/>
  <c r="P97" i="6" s="1"/>
  <c r="T97" i="6" s="1"/>
  <c r="S79" i="6"/>
  <c r="S61" i="6"/>
  <c r="P47" i="6"/>
  <c r="T47" i="6" s="1"/>
  <c r="S49" i="6"/>
  <c r="S65" i="6"/>
  <c r="S78" i="6"/>
  <c r="I25" i="6"/>
  <c r="P7" i="6"/>
  <c r="T7" i="6" s="1"/>
  <c r="S60" i="6"/>
  <c r="R6" i="6"/>
  <c r="S6" i="6" s="1"/>
  <c r="S120" i="6"/>
  <c r="V120" i="6" s="1"/>
  <c r="W121" i="5" s="1"/>
  <c r="Y121" i="5" s="1"/>
  <c r="L121" i="12" s="1"/>
  <c r="Z121" i="5" s="1"/>
  <c r="AA121" i="5" s="1"/>
  <c r="S26" i="6"/>
  <c r="R115" i="6"/>
  <c r="S115" i="6" s="1"/>
  <c r="R81" i="6"/>
  <c r="S81" i="6" s="1"/>
  <c r="L139" i="12"/>
  <c r="Z139" i="5" s="1"/>
  <c r="AA139" i="5" s="1"/>
  <c r="I81" i="6"/>
  <c r="I39" i="6"/>
  <c r="R5" i="6"/>
  <c r="S5" i="6" s="1"/>
  <c r="V18" i="6"/>
  <c r="W19" i="5" s="1"/>
  <c r="Y19" i="5" s="1"/>
  <c r="L19" i="12" s="1"/>
  <c r="Z19" i="5" s="1"/>
  <c r="U18" i="6"/>
  <c r="V93" i="6"/>
  <c r="W94" i="5" s="1"/>
  <c r="Y94" i="5" s="1"/>
  <c r="L94" i="12" s="1"/>
  <c r="Z94" i="5" s="1"/>
  <c r="AA94" i="5" s="1"/>
  <c r="U93" i="6"/>
  <c r="U45" i="6"/>
  <c r="V45" i="6"/>
  <c r="W46" i="5" s="1"/>
  <c r="R56" i="6"/>
  <c r="S56" i="6" s="1"/>
  <c r="R37" i="6"/>
  <c r="S37" i="6" s="1"/>
  <c r="S59" i="6"/>
  <c r="S2" i="6"/>
  <c r="I75" i="6"/>
  <c r="V100" i="6"/>
  <c r="W101" i="5" s="1"/>
  <c r="Y101" i="5" s="1"/>
  <c r="L101" i="12" s="1"/>
  <c r="Z101" i="5" s="1"/>
  <c r="AA101" i="5" s="1"/>
  <c r="R58" i="6"/>
  <c r="R107" i="6"/>
  <c r="S107" i="6" s="1"/>
  <c r="I88" i="6"/>
  <c r="I58" i="6"/>
  <c r="O40" i="6"/>
  <c r="P40" i="6" s="1"/>
  <c r="T40" i="6" s="1"/>
  <c r="R40" i="6"/>
  <c r="S40" i="6" s="1"/>
  <c r="V53" i="6"/>
  <c r="W54" i="5" s="1"/>
  <c r="Y54" i="5" s="1"/>
  <c r="L54" i="12" s="1"/>
  <c r="Z54" i="5" s="1"/>
  <c r="AA54" i="5" s="1"/>
  <c r="P143" i="6"/>
  <c r="U102" i="6"/>
  <c r="V102" i="6"/>
  <c r="W103" i="5" s="1"/>
  <c r="Y103" i="5" s="1"/>
  <c r="L103" i="12" s="1"/>
  <c r="Z103" i="5" s="1"/>
  <c r="AA103" i="5" s="1"/>
  <c r="Y170" i="5"/>
  <c r="L170" i="12" s="1"/>
  <c r="Z170" i="5" s="1"/>
  <c r="AA170" i="5" s="1"/>
  <c r="R46" i="6"/>
  <c r="S46" i="6" s="1"/>
  <c r="V71" i="6"/>
  <c r="W72" i="5" s="1"/>
  <c r="Y72" i="5" s="1"/>
  <c r="L72" i="12" s="1"/>
  <c r="Z72" i="5" s="1"/>
  <c r="AA72" i="5" s="1"/>
  <c r="U71" i="6"/>
  <c r="X177" i="5"/>
  <c r="V99" i="6"/>
  <c r="W100" i="5" s="1"/>
  <c r="Y100" i="5" s="1"/>
  <c r="L100" i="12" s="1"/>
  <c r="Z100" i="5" s="1"/>
  <c r="AA100" i="5" s="1"/>
  <c r="U99" i="6"/>
  <c r="R17" i="6"/>
  <c r="O17" i="6"/>
  <c r="P17" i="6" s="1"/>
  <c r="T17" i="6" s="1"/>
  <c r="P13" i="6"/>
  <c r="T13" i="6" s="1"/>
  <c r="P43" i="6"/>
  <c r="T43" i="6" s="1"/>
  <c r="P2" i="6"/>
  <c r="T2" i="6" s="1"/>
  <c r="S113" i="6"/>
  <c r="U91" i="6"/>
  <c r="V91" i="6"/>
  <c r="W92" i="5" s="1"/>
  <c r="Y92" i="5" s="1"/>
  <c r="L92" i="12" s="1"/>
  <c r="Z92" i="5" s="1"/>
  <c r="AA92" i="5" s="1"/>
  <c r="R67" i="6"/>
  <c r="S67" i="6" s="1"/>
  <c r="O67" i="6"/>
  <c r="P67" i="6" s="1"/>
  <c r="T67" i="6" s="1"/>
  <c r="I67" i="6"/>
  <c r="R83" i="6"/>
  <c r="S83" i="6" s="1"/>
  <c r="O104" i="6"/>
  <c r="P104" i="6" s="1"/>
  <c r="T104" i="6" s="1"/>
  <c r="R104" i="6"/>
  <c r="S104" i="6" s="1"/>
  <c r="L122" i="12"/>
  <c r="Z122" i="5" s="1"/>
  <c r="AA122" i="5" s="1"/>
  <c r="V50" i="6"/>
  <c r="W51" i="5" s="1"/>
  <c r="Y51" i="5" s="1"/>
  <c r="L51" i="12" s="1"/>
  <c r="Z51" i="5" s="1"/>
  <c r="U50" i="6"/>
  <c r="K58" i="6"/>
  <c r="O58" i="6" s="1"/>
  <c r="P58" i="6" s="1"/>
  <c r="T58" i="6" s="1"/>
  <c r="K107" i="6"/>
  <c r="O107" i="6" s="1"/>
  <c r="P107" i="6" s="1"/>
  <c r="T107" i="6" s="1"/>
  <c r="R8" i="6"/>
  <c r="S8" i="6" s="1"/>
  <c r="O8" i="6"/>
  <c r="P8" i="6" s="1"/>
  <c r="T8" i="6" s="1"/>
  <c r="I96" i="6"/>
  <c r="L171" i="12"/>
  <c r="Z171" i="5" s="1"/>
  <c r="AA171" i="5" s="1"/>
  <c r="S7" i="6"/>
  <c r="R106" i="6"/>
  <c r="S106" i="6" s="1"/>
  <c r="R105" i="6"/>
  <c r="S105" i="6" s="1"/>
  <c r="R89" i="6"/>
  <c r="S89" i="6" s="1"/>
  <c r="Y88" i="5"/>
  <c r="L88" i="12" s="1"/>
  <c r="Z88" i="5" s="1"/>
  <c r="AA88" i="5" s="1"/>
  <c r="R30" i="6"/>
  <c r="S30" i="6" s="1"/>
  <c r="O30" i="6"/>
  <c r="V10" i="6"/>
  <c r="W11" i="5" s="1"/>
  <c r="U10" i="6"/>
  <c r="I17" i="6"/>
  <c r="P66" i="6"/>
  <c r="T66" i="6" s="1"/>
  <c r="S13" i="6"/>
  <c r="R41" i="6"/>
  <c r="S41" i="6" s="1"/>
  <c r="O41" i="6"/>
  <c r="P41" i="6" s="1"/>
  <c r="T41" i="6" s="1"/>
  <c r="I41" i="6"/>
  <c r="L145" i="12"/>
  <c r="Z145" i="5" s="1"/>
  <c r="AA145" i="5" s="1"/>
  <c r="R44" i="6"/>
  <c r="S44" i="6" s="1"/>
  <c r="I44" i="6"/>
  <c r="I23" i="6"/>
  <c r="O4" i="6"/>
  <c r="P4" i="6" s="1"/>
  <c r="T4" i="6" s="1"/>
  <c r="R4" i="6"/>
  <c r="S4" i="6" s="1"/>
  <c r="S15" i="6"/>
  <c r="S90" i="6"/>
  <c r="S22" i="6"/>
  <c r="S52" i="6"/>
  <c r="P109" i="6"/>
  <c r="T109" i="6" s="1"/>
  <c r="S86" i="6"/>
  <c r="S88" i="6"/>
  <c r="Y138" i="5"/>
  <c r="K8" i="6"/>
  <c r="S85" i="6"/>
  <c r="P24" i="6"/>
  <c r="T24" i="6" s="1"/>
  <c r="L149" i="12"/>
  <c r="Z149" i="5" s="1"/>
  <c r="AA149" i="5" s="1"/>
  <c r="L174" i="12"/>
  <c r="Z174" i="5" s="1"/>
  <c r="AA174" i="5" s="1"/>
  <c r="I30" i="6"/>
  <c r="S58" i="6"/>
  <c r="O29" i="6"/>
  <c r="P29" i="6" s="1"/>
  <c r="T29" i="6" s="1"/>
  <c r="R29" i="6"/>
  <c r="S29" i="6" s="1"/>
  <c r="V12" i="6"/>
  <c r="W13" i="5" s="1"/>
  <c r="Y13" i="5" s="1"/>
  <c r="L13" i="12" s="1"/>
  <c r="Z13" i="5" s="1"/>
  <c r="U12" i="6"/>
  <c r="V24" i="6"/>
  <c r="W25" i="5" s="1"/>
  <c r="Y25" i="5" s="1"/>
  <c r="L25" i="12" s="1"/>
  <c r="Z25" i="5" s="1"/>
  <c r="AA25" i="5" s="1"/>
  <c r="U24" i="6"/>
  <c r="S11" i="5"/>
  <c r="J177" i="5"/>
  <c r="R28" i="6"/>
  <c r="S28" i="6" s="1"/>
  <c r="I28" i="6"/>
  <c r="V76" i="6"/>
  <c r="W77" i="5" s="1"/>
  <c r="Y77" i="5" s="1"/>
  <c r="L77" i="12" s="1"/>
  <c r="Z77" i="5" s="1"/>
  <c r="AA77" i="5" s="1"/>
  <c r="U76" i="6"/>
  <c r="R69" i="6"/>
  <c r="S69" i="6" s="1"/>
  <c r="O69" i="6"/>
  <c r="S36" i="6"/>
  <c r="P157" i="6"/>
  <c r="U82" i="6"/>
  <c r="V82" i="6"/>
  <c r="W83" i="5" s="1"/>
  <c r="Y83" i="5" s="1"/>
  <c r="L83" i="12" s="1"/>
  <c r="Z83" i="5" s="1"/>
  <c r="V109" i="6"/>
  <c r="W110" i="5" s="1"/>
  <c r="Y110" i="5" s="1"/>
  <c r="L110" i="12" s="1"/>
  <c r="Z110" i="5" s="1"/>
  <c r="AA110" i="5" s="1"/>
  <c r="U109" i="6"/>
  <c r="O62" i="6"/>
  <c r="P62" i="6" s="1"/>
  <c r="T62" i="6" s="1"/>
  <c r="R62" i="6"/>
  <c r="S62" i="6" s="1"/>
  <c r="V11" i="6"/>
  <c r="W12" i="5" s="1"/>
  <c r="Y12" i="5" s="1"/>
  <c r="L12" i="12" s="1"/>
  <c r="Z12" i="5" s="1"/>
  <c r="AA12" i="5" s="1"/>
  <c r="U11" i="6"/>
  <c r="L123" i="12"/>
  <c r="Z123" i="5" s="1"/>
  <c r="AA123" i="5" s="1"/>
  <c r="O83" i="6"/>
  <c r="P83" i="6" s="1"/>
  <c r="T83" i="6" s="1"/>
  <c r="P114" i="6"/>
  <c r="T114" i="6" s="1"/>
  <c r="I48" i="6"/>
  <c r="R48" i="6"/>
  <c r="S48" i="6" s="1"/>
  <c r="O48" i="6"/>
  <c r="P48" i="6" s="1"/>
  <c r="T48" i="6" s="1"/>
  <c r="P84" i="6"/>
  <c r="T84" i="6" s="1"/>
  <c r="O106" i="6"/>
  <c r="P106" i="6" s="1"/>
  <c r="T106" i="6" s="1"/>
  <c r="P35" i="6"/>
  <c r="T35" i="6" s="1"/>
  <c r="R55" i="6"/>
  <c r="S55" i="6" s="1"/>
  <c r="O55" i="6"/>
  <c r="P55" i="6" s="1"/>
  <c r="T55" i="6" s="1"/>
  <c r="S68" i="6"/>
  <c r="S111" i="6"/>
  <c r="P30" i="6"/>
  <c r="T30" i="6" s="1"/>
  <c r="V77" i="6"/>
  <c r="W78" i="5" s="1"/>
  <c r="Y78" i="5" s="1"/>
  <c r="L78" i="12" s="1"/>
  <c r="Z78" i="5" s="1"/>
  <c r="AA78" i="5" s="1"/>
  <c r="U77" i="6"/>
  <c r="U42" i="6"/>
  <c r="V42" i="6"/>
  <c r="W43" i="5" s="1"/>
  <c r="Y43" i="5" s="1"/>
  <c r="L43" i="12" s="1"/>
  <c r="Z43" i="5" s="1"/>
  <c r="L158" i="12"/>
  <c r="Z158" i="5" s="1"/>
  <c r="AA158" i="5" s="1"/>
  <c r="Y161" i="5"/>
  <c r="L161" i="12" s="1"/>
  <c r="Z161" i="5" s="1"/>
  <c r="AA161" i="5" s="1"/>
  <c r="L146" i="12"/>
  <c r="Z146" i="5" s="1"/>
  <c r="AA146" i="5" s="1"/>
  <c r="I69" i="6"/>
  <c r="V43" i="6"/>
  <c r="W44" i="5" s="1"/>
  <c r="Y44" i="5" s="1"/>
  <c r="L44" i="12" s="1"/>
  <c r="Z44" i="5" s="1"/>
  <c r="U43" i="6"/>
  <c r="O25" i="6"/>
  <c r="P25" i="6" s="1"/>
  <c r="T25" i="6" s="1"/>
  <c r="R25" i="6"/>
  <c r="S25" i="6" s="1"/>
  <c r="S17" i="6"/>
  <c r="S66" i="6"/>
  <c r="P89" i="6"/>
  <c r="T89" i="6" s="1"/>
  <c r="P9" i="6"/>
  <c r="T9" i="6" s="1"/>
  <c r="S74" i="6"/>
  <c r="P61" i="6"/>
  <c r="T61" i="6" s="1"/>
  <c r="S23" i="6"/>
  <c r="O75" i="6"/>
  <c r="P75" i="6" s="1"/>
  <c r="T75" i="6" s="1"/>
  <c r="R75" i="6"/>
  <c r="S75" i="6" s="1"/>
  <c r="P65" i="6"/>
  <c r="T65" i="6" s="1"/>
  <c r="L147" i="12"/>
  <c r="Z147" i="5" s="1"/>
  <c r="AA147" i="5" s="1"/>
  <c r="Y130" i="5"/>
  <c r="U84" i="6"/>
  <c r="V84" i="6"/>
  <c r="W85" i="5" s="1"/>
  <c r="Y85" i="5" s="1"/>
  <c r="L85" i="12" s="1"/>
  <c r="Z85" i="5" s="1"/>
  <c r="AA85" i="5" s="1"/>
  <c r="L136" i="12"/>
  <c r="Z136" i="5" s="1"/>
  <c r="AA136" i="5" s="1"/>
  <c r="S95" i="6"/>
  <c r="I62" i="6"/>
  <c r="S35" i="6"/>
  <c r="O3" i="6"/>
  <c r="P3" i="6" s="1"/>
  <c r="T3" i="6" s="1"/>
  <c r="R3" i="6"/>
  <c r="S3" i="6" s="1"/>
  <c r="L120" i="12"/>
  <c r="Z120" i="5" s="1"/>
  <c r="AA120" i="5" s="1"/>
  <c r="L128" i="12"/>
  <c r="Z128" i="5" s="1"/>
  <c r="AA128" i="5" s="1"/>
  <c r="V54" i="6"/>
  <c r="W55" i="5" s="1"/>
  <c r="Y55" i="5" s="1"/>
  <c r="L55" i="12" s="1"/>
  <c r="Z55" i="5" s="1"/>
  <c r="AA55" i="5" s="1"/>
  <c r="U54" i="6"/>
  <c r="V21" i="6"/>
  <c r="W22" i="5" s="1"/>
  <c r="Y22" i="5" s="1"/>
  <c r="L22" i="12" s="1"/>
  <c r="Z22" i="5" s="1"/>
  <c r="AA22" i="5" s="1"/>
  <c r="U21" i="6"/>
  <c r="R97" i="6"/>
  <c r="S97" i="6" s="1"/>
  <c r="V63" i="6"/>
  <c r="W64" i="5" s="1"/>
  <c r="Y64" i="5" s="1"/>
  <c r="L64" i="12" s="1"/>
  <c r="Z64" i="5" s="1"/>
  <c r="AA64" i="5" s="1"/>
  <c r="U63" i="6"/>
  <c r="V31" i="6"/>
  <c r="W32" i="5" s="1"/>
  <c r="Y32" i="5" s="1"/>
  <c r="L32" i="12" s="1"/>
  <c r="Z32" i="5" s="1"/>
  <c r="AA32" i="5" s="1"/>
  <c r="U31" i="6"/>
  <c r="K40" i="6"/>
  <c r="K81" i="6"/>
  <c r="O81" i="6" s="1"/>
  <c r="P81" i="6" s="1"/>
  <c r="T81" i="6" s="1"/>
  <c r="P18" i="6"/>
  <c r="T18" i="6" s="1"/>
  <c r="P69" i="6"/>
  <c r="T69" i="6" s="1"/>
  <c r="K29" i="6"/>
  <c r="O32" i="6"/>
  <c r="P32" i="6" s="1"/>
  <c r="T32" i="6" s="1"/>
  <c r="R32" i="6"/>
  <c r="S32" i="6" s="1"/>
  <c r="L173" i="12"/>
  <c r="Z173" i="5" s="1"/>
  <c r="AA173" i="5" s="1"/>
  <c r="U108" i="6"/>
  <c r="V108" i="6"/>
  <c r="W109" i="5" s="1"/>
  <c r="Y109" i="5" s="1"/>
  <c r="L109" i="12" s="1"/>
  <c r="Z109" i="5" s="1"/>
  <c r="S9" i="6"/>
  <c r="R64" i="6"/>
  <c r="S64" i="6" s="1"/>
  <c r="O64" i="6"/>
  <c r="P64" i="6" s="1"/>
  <c r="T64" i="6" s="1"/>
  <c r="O74" i="6"/>
  <c r="P74" i="6" s="1"/>
  <c r="T74" i="6" s="1"/>
  <c r="V47" i="6"/>
  <c r="W48" i="5" s="1"/>
  <c r="Y48" i="5" s="1"/>
  <c r="L48" i="12" s="1"/>
  <c r="Z48" i="5" s="1"/>
  <c r="AA48" i="5" s="1"/>
  <c r="U47" i="6"/>
  <c r="I5" i="6"/>
  <c r="K39" i="6"/>
  <c r="O39" i="6" s="1"/>
  <c r="P39" i="6" s="1"/>
  <c r="T39" i="6" s="1"/>
  <c r="P100" i="6"/>
  <c r="T100" i="6" s="1"/>
  <c r="I74" i="6"/>
  <c r="S51" i="6"/>
  <c r="R114" i="6"/>
  <c r="S114" i="6" s="1"/>
  <c r="I55" i="6"/>
  <c r="P95" i="6"/>
  <c r="T95" i="6" s="1"/>
  <c r="P16" i="6"/>
  <c r="T16" i="6" s="1"/>
  <c r="V110" i="6"/>
  <c r="W111" i="5" s="1"/>
  <c r="Y111" i="5" s="1"/>
  <c r="L111" i="12" s="1"/>
  <c r="Z111" i="5" s="1"/>
  <c r="U110" i="6"/>
  <c r="R70" i="6"/>
  <c r="S70" i="6" s="1"/>
  <c r="AD177" i="5"/>
  <c r="AE3" i="5"/>
  <c r="AE177" i="5" s="1"/>
  <c r="G46" i="5"/>
  <c r="BK178" i="3"/>
  <c r="L102" i="12"/>
  <c r="Z102" i="5" s="1"/>
  <c r="L58" i="12"/>
  <c r="Z58" i="5" s="1"/>
  <c r="AA58" i="5" s="1"/>
  <c r="U177" i="5"/>
  <c r="L117" i="12"/>
  <c r="Z117" i="5" s="1"/>
  <c r="AA117" i="5" s="1"/>
  <c r="L81" i="12"/>
  <c r="Z81" i="5" s="1"/>
  <c r="AA81" i="5" s="1"/>
  <c r="L20" i="12"/>
  <c r="Z20" i="5" s="1"/>
  <c r="AA20" i="5" s="1"/>
  <c r="AA166" i="5"/>
  <c r="V177" i="5" l="1"/>
  <c r="V14" i="6"/>
  <c r="W15" i="5" s="1"/>
  <c r="Y15" i="5" s="1"/>
  <c r="L15" i="12" s="1"/>
  <c r="Z15" i="5" s="1"/>
  <c r="V59" i="5"/>
  <c r="R58" i="8"/>
  <c r="V94" i="6"/>
  <c r="W95" i="5" s="1"/>
  <c r="Y95" i="5" s="1"/>
  <c r="L95" i="12" s="1"/>
  <c r="Z95" i="5" s="1"/>
  <c r="U94" i="6"/>
  <c r="U16" i="6"/>
  <c r="V62" i="6"/>
  <c r="W63" i="5" s="1"/>
  <c r="Y63" i="5" s="1"/>
  <c r="L63" i="12" s="1"/>
  <c r="Z63" i="5" s="1"/>
  <c r="AA63" i="5" s="1"/>
  <c r="U62" i="6"/>
  <c r="V69" i="6"/>
  <c r="W70" i="5" s="1"/>
  <c r="Y70" i="5" s="1"/>
  <c r="L70" i="12" s="1"/>
  <c r="Z70" i="5" s="1"/>
  <c r="AA70" i="5" s="1"/>
  <c r="U69" i="6"/>
  <c r="V70" i="6"/>
  <c r="W71" i="5" s="1"/>
  <c r="Y71" i="5" s="1"/>
  <c r="L71" i="12" s="1"/>
  <c r="Z71" i="5" s="1"/>
  <c r="AA71" i="5" s="1"/>
  <c r="U70" i="6"/>
  <c r="V55" i="6"/>
  <c r="W56" i="5" s="1"/>
  <c r="Y56" i="5" s="1"/>
  <c r="L56" i="12" s="1"/>
  <c r="Z56" i="5" s="1"/>
  <c r="AA56" i="5" s="1"/>
  <c r="U55" i="6"/>
  <c r="V114" i="6"/>
  <c r="W115" i="5" s="1"/>
  <c r="Y115" i="5" s="1"/>
  <c r="L115" i="12" s="1"/>
  <c r="Z115" i="5" s="1"/>
  <c r="AA115" i="5" s="1"/>
  <c r="U114" i="6"/>
  <c r="V8" i="6"/>
  <c r="W9" i="5" s="1"/>
  <c r="Y9" i="5" s="1"/>
  <c r="L9" i="12" s="1"/>
  <c r="Z9" i="5" s="1"/>
  <c r="AA9" i="5" s="1"/>
  <c r="U8" i="6"/>
  <c r="V115" i="6"/>
  <c r="W116" i="5" s="1"/>
  <c r="Y116" i="5" s="1"/>
  <c r="L116" i="12" s="1"/>
  <c r="Z116" i="5" s="1"/>
  <c r="AA116" i="5" s="1"/>
  <c r="U115" i="6"/>
  <c r="V34" i="6"/>
  <c r="W35" i="5" s="1"/>
  <c r="Y35" i="5" s="1"/>
  <c r="L35" i="12" s="1"/>
  <c r="Z35" i="5" s="1"/>
  <c r="AA35" i="5" s="1"/>
  <c r="U34" i="6"/>
  <c r="U105" i="6"/>
  <c r="V105" i="6"/>
  <c r="W106" i="5" s="1"/>
  <c r="Y106" i="5" s="1"/>
  <c r="L106" i="12" s="1"/>
  <c r="Z106" i="5" s="1"/>
  <c r="AA106" i="5" s="1"/>
  <c r="V30" i="6"/>
  <c r="W31" i="5" s="1"/>
  <c r="Y31" i="5" s="1"/>
  <c r="L31" i="12" s="1"/>
  <c r="Z31" i="5" s="1"/>
  <c r="AA31" i="5" s="1"/>
  <c r="U30" i="6"/>
  <c r="V88" i="6"/>
  <c r="W89" i="5" s="1"/>
  <c r="Y89" i="5" s="1"/>
  <c r="L89" i="12" s="1"/>
  <c r="Z89" i="5" s="1"/>
  <c r="U88" i="6"/>
  <c r="V13" i="6"/>
  <c r="W14" i="5" s="1"/>
  <c r="Y14" i="5" s="1"/>
  <c r="L14" i="12" s="1"/>
  <c r="Z14" i="5" s="1"/>
  <c r="U13" i="6"/>
  <c r="V81" i="6"/>
  <c r="W82" i="5" s="1"/>
  <c r="Y82" i="5" s="1"/>
  <c r="L82" i="12" s="1"/>
  <c r="Z82" i="5" s="1"/>
  <c r="AA82" i="5" s="1"/>
  <c r="U81" i="6"/>
  <c r="V79" i="6"/>
  <c r="W80" i="5" s="1"/>
  <c r="Y80" i="5" s="1"/>
  <c r="L80" i="12" s="1"/>
  <c r="Z80" i="5" s="1"/>
  <c r="AA80" i="5" s="1"/>
  <c r="U79" i="6"/>
  <c r="U39" i="6"/>
  <c r="V39" i="6"/>
  <c r="W40" i="5" s="1"/>
  <c r="Y40" i="5" s="1"/>
  <c r="L40" i="12" s="1"/>
  <c r="Z40" i="5" s="1"/>
  <c r="AA40" i="5" s="1"/>
  <c r="V5" i="6"/>
  <c r="W6" i="5" s="1"/>
  <c r="Y6" i="5" s="1"/>
  <c r="L6" i="12" s="1"/>
  <c r="Z6" i="5" s="1"/>
  <c r="AA6" i="5" s="1"/>
  <c r="U5" i="6"/>
  <c r="P46" i="5"/>
  <c r="G177" i="5"/>
  <c r="U74" i="6"/>
  <c r="V74" i="6"/>
  <c r="W75" i="5" s="1"/>
  <c r="Y75" i="5" s="1"/>
  <c r="L75" i="12" s="1"/>
  <c r="Z75" i="5" s="1"/>
  <c r="AA75" i="5" s="1"/>
  <c r="V72" i="6"/>
  <c r="W73" i="5" s="1"/>
  <c r="Y73" i="5" s="1"/>
  <c r="L73" i="12" s="1"/>
  <c r="Z73" i="5" s="1"/>
  <c r="AA73" i="5" s="1"/>
  <c r="U72" i="6"/>
  <c r="U32" i="6"/>
  <c r="V32" i="6"/>
  <c r="W33" i="5" s="1"/>
  <c r="Y33" i="5" s="1"/>
  <c r="L33" i="12" s="1"/>
  <c r="Z33" i="5" s="1"/>
  <c r="AA33" i="5" s="1"/>
  <c r="V85" i="6"/>
  <c r="W86" i="5" s="1"/>
  <c r="Y86" i="5" s="1"/>
  <c r="L86" i="12" s="1"/>
  <c r="Z86" i="5" s="1"/>
  <c r="AA86" i="5" s="1"/>
  <c r="U85" i="6"/>
  <c r="U52" i="6"/>
  <c r="V52" i="6"/>
  <c r="W53" i="5" s="1"/>
  <c r="Y53" i="5" s="1"/>
  <c r="L53" i="12" s="1"/>
  <c r="Z53" i="5" s="1"/>
  <c r="AA53" i="5" s="1"/>
  <c r="U44" i="6"/>
  <c r="V44" i="6"/>
  <c r="W45" i="5" s="1"/>
  <c r="Y45" i="5" s="1"/>
  <c r="L45" i="12" s="1"/>
  <c r="Z45" i="5" s="1"/>
  <c r="AA45" i="5" s="1"/>
  <c r="V4" i="6"/>
  <c r="W5" i="5" s="1"/>
  <c r="Y5" i="5" s="1"/>
  <c r="L5" i="12" s="1"/>
  <c r="Z5" i="5" s="1"/>
  <c r="AA5" i="5" s="1"/>
  <c r="U4" i="6"/>
  <c r="V83" i="6"/>
  <c r="W84" i="5" s="1"/>
  <c r="Y84" i="5" s="1"/>
  <c r="L84" i="12" s="1"/>
  <c r="Z84" i="5" s="1"/>
  <c r="AA84" i="5" s="1"/>
  <c r="U83" i="6"/>
  <c r="V113" i="6"/>
  <c r="W114" i="5" s="1"/>
  <c r="Y114" i="5" s="1"/>
  <c r="L114" i="12" s="1"/>
  <c r="Z114" i="5" s="1"/>
  <c r="AA114" i="5" s="1"/>
  <c r="U113" i="6"/>
  <c r="U56" i="6"/>
  <c r="V56" i="6"/>
  <c r="W57" i="5" s="1"/>
  <c r="Y57" i="5" s="1"/>
  <c r="L57" i="12" s="1"/>
  <c r="Z57" i="5" s="1"/>
  <c r="AA57" i="5" s="1"/>
  <c r="V26" i="6"/>
  <c r="W27" i="5" s="1"/>
  <c r="Y27" i="5" s="1"/>
  <c r="L27" i="12" s="1"/>
  <c r="Z27" i="5" s="1"/>
  <c r="AA27" i="5" s="1"/>
  <c r="U26" i="6"/>
  <c r="V78" i="6"/>
  <c r="W79" i="5" s="1"/>
  <c r="Y79" i="5" s="1"/>
  <c r="L79" i="12" s="1"/>
  <c r="Z79" i="5" s="1"/>
  <c r="U78" i="6"/>
  <c r="V104" i="6"/>
  <c r="W105" i="5" s="1"/>
  <c r="Y105" i="5" s="1"/>
  <c r="L105" i="12" s="1"/>
  <c r="Z105" i="5" s="1"/>
  <c r="AA105" i="5" s="1"/>
  <c r="U104" i="6"/>
  <c r="V51" i="6"/>
  <c r="W52" i="5" s="1"/>
  <c r="Y52" i="5" s="1"/>
  <c r="L52" i="12" s="1"/>
  <c r="Z52" i="5" s="1"/>
  <c r="AA52" i="5" s="1"/>
  <c r="U51" i="6"/>
  <c r="V35" i="6"/>
  <c r="W36" i="5" s="1"/>
  <c r="Y36" i="5" s="1"/>
  <c r="L36" i="12" s="1"/>
  <c r="Z36" i="5" s="1"/>
  <c r="AA36" i="5" s="1"/>
  <c r="U35" i="6"/>
  <c r="V66" i="6"/>
  <c r="W67" i="5" s="1"/>
  <c r="Y67" i="5" s="1"/>
  <c r="L67" i="12" s="1"/>
  <c r="Z67" i="5" s="1"/>
  <c r="AA67" i="5" s="1"/>
  <c r="U66" i="6"/>
  <c r="V64" i="6"/>
  <c r="W65" i="5" s="1"/>
  <c r="Y65" i="5" s="1"/>
  <c r="L65" i="12" s="1"/>
  <c r="Z65" i="5" s="1"/>
  <c r="AA65" i="5" s="1"/>
  <c r="U64" i="6"/>
  <c r="U96" i="6"/>
  <c r="V96" i="6"/>
  <c r="W97" i="5" s="1"/>
  <c r="Y97" i="5" s="1"/>
  <c r="L97" i="12" s="1"/>
  <c r="Z97" i="5" s="1"/>
  <c r="AA97" i="5" s="1"/>
  <c r="V36" i="6"/>
  <c r="W37" i="5" s="1"/>
  <c r="Y37" i="5" s="1"/>
  <c r="L37" i="12" s="1"/>
  <c r="Z37" i="5" s="1"/>
  <c r="AA37" i="5" s="1"/>
  <c r="U36" i="6"/>
  <c r="V28" i="6"/>
  <c r="W29" i="5" s="1"/>
  <c r="Y29" i="5" s="1"/>
  <c r="L29" i="12" s="1"/>
  <c r="Z29" i="5" s="1"/>
  <c r="AA29" i="5" s="1"/>
  <c r="U28" i="6"/>
  <c r="U29" i="6"/>
  <c r="V29" i="6"/>
  <c r="W30" i="5" s="1"/>
  <c r="Y30" i="5" s="1"/>
  <c r="L30" i="12" s="1"/>
  <c r="Z30" i="5" s="1"/>
  <c r="AA30" i="5" s="1"/>
  <c r="V22" i="6"/>
  <c r="W23" i="5" s="1"/>
  <c r="Y23" i="5" s="1"/>
  <c r="L23" i="12" s="1"/>
  <c r="Z23" i="5" s="1"/>
  <c r="AA23" i="5" s="1"/>
  <c r="U22" i="6"/>
  <c r="U40" i="6"/>
  <c r="V40" i="6"/>
  <c r="W41" i="5" s="1"/>
  <c r="Y41" i="5" s="1"/>
  <c r="L41" i="12" s="1"/>
  <c r="Z41" i="5" s="1"/>
  <c r="AA41" i="5" s="1"/>
  <c r="V65" i="6"/>
  <c r="W66" i="5" s="1"/>
  <c r="Y66" i="5" s="1"/>
  <c r="L66" i="12" s="1"/>
  <c r="Z66" i="5" s="1"/>
  <c r="AA66" i="5" s="1"/>
  <c r="U65" i="6"/>
  <c r="V97" i="6"/>
  <c r="W98" i="5" s="1"/>
  <c r="Y98" i="5" s="1"/>
  <c r="L98" i="12" s="1"/>
  <c r="Z98" i="5" s="1"/>
  <c r="AA98" i="5" s="1"/>
  <c r="U97" i="6"/>
  <c r="V86" i="6"/>
  <c r="W87" i="5" s="1"/>
  <c r="Y87" i="5" s="1"/>
  <c r="L87" i="12" s="1"/>
  <c r="Z87" i="5" s="1"/>
  <c r="AA87" i="5" s="1"/>
  <c r="U86" i="6"/>
  <c r="V75" i="6"/>
  <c r="W76" i="5" s="1"/>
  <c r="Y76" i="5" s="1"/>
  <c r="L76" i="12" s="1"/>
  <c r="Z76" i="5" s="1"/>
  <c r="AA76" i="5" s="1"/>
  <c r="U75" i="6"/>
  <c r="V111" i="6"/>
  <c r="W112" i="5" s="1"/>
  <c r="Y112" i="5" s="1"/>
  <c r="L112" i="12" s="1"/>
  <c r="Z112" i="5" s="1"/>
  <c r="AA112" i="5" s="1"/>
  <c r="U111" i="6"/>
  <c r="L138" i="12"/>
  <c r="Z138" i="5" s="1"/>
  <c r="AA138" i="5" s="1"/>
  <c r="U90" i="6"/>
  <c r="V90" i="6"/>
  <c r="W91" i="5" s="1"/>
  <c r="Y91" i="5" s="1"/>
  <c r="L91" i="12" s="1"/>
  <c r="Z91" i="5" s="1"/>
  <c r="AA91" i="5" s="1"/>
  <c r="V107" i="6"/>
  <c r="W108" i="5" s="1"/>
  <c r="Y108" i="5" s="1"/>
  <c r="L108" i="12" s="1"/>
  <c r="Z108" i="5" s="1"/>
  <c r="AA108" i="5" s="1"/>
  <c r="U107" i="6"/>
  <c r="U2" i="6"/>
  <c r="V2" i="6"/>
  <c r="W3" i="5" s="1"/>
  <c r="U49" i="6"/>
  <c r="V49" i="6"/>
  <c r="W50" i="5" s="1"/>
  <c r="Y50" i="5" s="1"/>
  <c r="L50" i="12" s="1"/>
  <c r="Z50" i="5" s="1"/>
  <c r="AA50" i="5" s="1"/>
  <c r="V9" i="6"/>
  <c r="W10" i="5" s="1"/>
  <c r="Y10" i="5" s="1"/>
  <c r="L10" i="12" s="1"/>
  <c r="Z10" i="5" s="1"/>
  <c r="AA10" i="5" s="1"/>
  <c r="U9" i="6"/>
  <c r="V95" i="6"/>
  <c r="W96" i="5" s="1"/>
  <c r="Y96" i="5" s="1"/>
  <c r="L96" i="12" s="1"/>
  <c r="Z96" i="5" s="1"/>
  <c r="AA96" i="5" s="1"/>
  <c r="U95" i="6"/>
  <c r="V17" i="6"/>
  <c r="W18" i="5" s="1"/>
  <c r="Y18" i="5" s="1"/>
  <c r="L18" i="12" s="1"/>
  <c r="Z18" i="5" s="1"/>
  <c r="U17" i="6"/>
  <c r="U68" i="6"/>
  <c r="V68" i="6"/>
  <c r="W69" i="5" s="1"/>
  <c r="Y69" i="5" s="1"/>
  <c r="L69" i="12" s="1"/>
  <c r="Z69" i="5" s="1"/>
  <c r="U48" i="6"/>
  <c r="V48" i="6"/>
  <c r="W49" i="5" s="1"/>
  <c r="Y49" i="5" s="1"/>
  <c r="L49" i="12" s="1"/>
  <c r="Z49" i="5" s="1"/>
  <c r="U58" i="6"/>
  <c r="V58" i="6"/>
  <c r="W59" i="5" s="1"/>
  <c r="Y59" i="5" s="1"/>
  <c r="L59" i="12" s="1"/>
  <c r="Z59" i="5" s="1"/>
  <c r="AA59" i="5" s="1"/>
  <c r="V15" i="6"/>
  <c r="W16" i="5" s="1"/>
  <c r="Y16" i="5" s="1"/>
  <c r="L16" i="12" s="1"/>
  <c r="Z16" i="5" s="1"/>
  <c r="AA16" i="5" s="1"/>
  <c r="U15" i="6"/>
  <c r="V106" i="6"/>
  <c r="W107" i="5" s="1"/>
  <c r="Y107" i="5" s="1"/>
  <c r="L107" i="12" s="1"/>
  <c r="Z107" i="5" s="1"/>
  <c r="AA107" i="5" s="1"/>
  <c r="U106" i="6"/>
  <c r="V67" i="6"/>
  <c r="W68" i="5" s="1"/>
  <c r="Y68" i="5" s="1"/>
  <c r="L68" i="12" s="1"/>
  <c r="Z68" i="5" s="1"/>
  <c r="AA68" i="5" s="1"/>
  <c r="U67" i="6"/>
  <c r="V46" i="6"/>
  <c r="W47" i="5" s="1"/>
  <c r="Y47" i="5" s="1"/>
  <c r="L47" i="12" s="1"/>
  <c r="Z47" i="5" s="1"/>
  <c r="U46" i="6"/>
  <c r="V59" i="6"/>
  <c r="W60" i="5" s="1"/>
  <c r="Y60" i="5" s="1"/>
  <c r="L60" i="12" s="1"/>
  <c r="Z60" i="5" s="1"/>
  <c r="AA60" i="5" s="1"/>
  <c r="U59" i="6"/>
  <c r="V6" i="6"/>
  <c r="W7" i="5" s="1"/>
  <c r="Y7" i="5" s="1"/>
  <c r="L7" i="12" s="1"/>
  <c r="Z7" i="5" s="1"/>
  <c r="AA7" i="5" s="1"/>
  <c r="U6" i="6"/>
  <c r="V89" i="6"/>
  <c r="W90" i="5" s="1"/>
  <c r="Y90" i="5" s="1"/>
  <c r="L90" i="12" s="1"/>
  <c r="Z90" i="5" s="1"/>
  <c r="AA90" i="5" s="1"/>
  <c r="U89" i="6"/>
  <c r="U37" i="6"/>
  <c r="V37" i="6"/>
  <c r="W38" i="5" s="1"/>
  <c r="Y38" i="5" s="1"/>
  <c r="L38" i="12" s="1"/>
  <c r="Z38" i="5" s="1"/>
  <c r="V3" i="6"/>
  <c r="W4" i="5" s="1"/>
  <c r="Y4" i="5" s="1"/>
  <c r="L4" i="12" s="1"/>
  <c r="Z4" i="5" s="1"/>
  <c r="AA4" i="5" s="1"/>
  <c r="U3" i="6"/>
  <c r="U23" i="6"/>
  <c r="V23" i="6"/>
  <c r="W24" i="5" s="1"/>
  <c r="Y24" i="5" s="1"/>
  <c r="L24" i="12" s="1"/>
  <c r="Z24" i="5" s="1"/>
  <c r="AA24" i="5" s="1"/>
  <c r="V25" i="6"/>
  <c r="W26" i="5" s="1"/>
  <c r="Y26" i="5" s="1"/>
  <c r="L26" i="12" s="1"/>
  <c r="Z26" i="5" s="1"/>
  <c r="AA26" i="5" s="1"/>
  <c r="U25" i="6"/>
  <c r="S177" i="5"/>
  <c r="Y11" i="5"/>
  <c r="L11" i="12" s="1"/>
  <c r="Z11" i="5" s="1"/>
  <c r="V41" i="6"/>
  <c r="W42" i="5" s="1"/>
  <c r="Y42" i="5" s="1"/>
  <c r="L42" i="12" s="1"/>
  <c r="Z42" i="5" s="1"/>
  <c r="AA42" i="5" s="1"/>
  <c r="U41" i="6"/>
  <c r="U7" i="6"/>
  <c r="V7" i="6"/>
  <c r="W8" i="5" s="1"/>
  <c r="Y8" i="5" s="1"/>
  <c r="L8" i="12" s="1"/>
  <c r="Z8" i="5" s="1"/>
  <c r="AA8" i="5" s="1"/>
  <c r="L130" i="12"/>
  <c r="Z130" i="5" s="1"/>
  <c r="AA130" i="5" s="1"/>
  <c r="V60" i="6"/>
  <c r="W61" i="5" s="1"/>
  <c r="Y61" i="5" s="1"/>
  <c r="L61" i="12" s="1"/>
  <c r="Z61" i="5" s="1"/>
  <c r="AA61" i="5" s="1"/>
  <c r="U60" i="6"/>
  <c r="V61" i="6"/>
  <c r="W62" i="5" s="1"/>
  <c r="Y62" i="5" s="1"/>
  <c r="L62" i="12" s="1"/>
  <c r="Z62" i="5" s="1"/>
  <c r="AA62" i="5" s="1"/>
  <c r="U61" i="6"/>
  <c r="AA34" i="5"/>
  <c r="AA74" i="5"/>
  <c r="AA99" i="5"/>
  <c r="AA111" i="5"/>
  <c r="AA102" i="5"/>
  <c r="AA19" i="5"/>
  <c r="AA44" i="5"/>
  <c r="AA43" i="5"/>
  <c r="AA13" i="5"/>
  <c r="AA51" i="5"/>
  <c r="AA89" i="5"/>
  <c r="AA83" i="5"/>
  <c r="AA109" i="5"/>
  <c r="AA17" i="5"/>
  <c r="AA95" i="5" l="1"/>
  <c r="AA15" i="5"/>
  <c r="AA49" i="5"/>
  <c r="AA69" i="5"/>
  <c r="AA11" i="5"/>
  <c r="AA38" i="5"/>
  <c r="AA47" i="5"/>
  <c r="AA18" i="5"/>
  <c r="AA14" i="5"/>
  <c r="W177" i="5"/>
  <c r="Y3" i="5"/>
  <c r="P177" i="5"/>
  <c r="Y46" i="5"/>
  <c r="L46" i="12" s="1"/>
  <c r="Z46" i="5" s="1"/>
  <c r="AA46" i="5" s="1"/>
  <c r="AA79" i="5"/>
  <c r="L3" i="12" l="1"/>
  <c r="Z3" i="5" s="1"/>
  <c r="Y177" i="5"/>
  <c r="AA3" i="5" l="1"/>
  <c r="AA177" i="5" s="1"/>
  <c r="Z177" i="5"/>
  <c r="M178" i="5" l="1"/>
  <c r="T178" i="5"/>
  <c r="Q178" i="5"/>
  <c r="W178" i="5"/>
  <c r="N178" i="5"/>
  <c r="O178" i="5"/>
  <c r="S178" i="5"/>
  <c r="P178" i="5"/>
  <c r="O177" i="13" l="1"/>
  <c r="E3" i="1" l="1"/>
  <c r="AK68" i="5" s="1"/>
  <c r="AP145" i="5"/>
  <c r="AM126" i="5"/>
  <c r="AI3" i="5"/>
  <c r="AI111" i="5"/>
  <c r="AM77" i="5"/>
  <c r="AG48" i="5"/>
  <c r="AL102" i="5"/>
  <c r="AR130" i="5"/>
  <c r="AM5" i="5"/>
  <c r="AM23" i="5"/>
  <c r="AO137" i="5"/>
  <c r="AK77" i="5"/>
  <c r="AK112" i="5"/>
  <c r="AJ99" i="5"/>
  <c r="AQ139" i="5"/>
  <c r="AN107" i="5"/>
  <c r="AG47" i="5"/>
  <c r="AH169" i="5"/>
  <c r="AI166" i="5"/>
  <c r="AH77" i="5"/>
  <c r="AL115" i="5"/>
  <c r="AJ120" i="5"/>
  <c r="AJ150" i="5"/>
  <c r="AP129" i="5"/>
  <c r="AG72" i="5"/>
  <c r="AQ119" i="5"/>
  <c r="AO158" i="5"/>
  <c r="AM120" i="5"/>
  <c r="AP4" i="5"/>
  <c r="AJ100" i="5"/>
  <c r="AN49" i="5"/>
  <c r="AG73" i="5"/>
  <c r="AN169" i="5"/>
  <c r="AO66" i="5"/>
  <c r="AO85" i="5"/>
  <c r="AM95" i="5"/>
  <c r="AO53" i="5"/>
  <c r="AM112" i="5"/>
  <c r="AM64" i="5"/>
  <c r="AO64" i="5"/>
  <c r="AO84" i="5"/>
  <c r="AM35" i="5"/>
  <c r="AM66" i="5"/>
  <c r="AO22" i="5"/>
  <c r="AR56" i="5"/>
  <c r="AQ72" i="5"/>
  <c r="AG132" i="5"/>
  <c r="AN105" i="5"/>
  <c r="AM150" i="5"/>
  <c r="AM111" i="5"/>
  <c r="AN112" i="5"/>
  <c r="AQ110" i="5"/>
  <c r="AR73" i="5"/>
  <c r="AJ109" i="5"/>
  <c r="AL107" i="5"/>
  <c r="AH165" i="5"/>
  <c r="AO139" i="5"/>
  <c r="AO76" i="5"/>
  <c r="AM89" i="5"/>
  <c r="AM159" i="5"/>
  <c r="AP3" i="5"/>
  <c r="AO146" i="5"/>
  <c r="AM79" i="5"/>
  <c r="AM73" i="5"/>
  <c r="AM115" i="5"/>
  <c r="AO108" i="5"/>
  <c r="AM104" i="5"/>
  <c r="AO88" i="5"/>
  <c r="AM83" i="5"/>
  <c r="AM142" i="5"/>
  <c r="AN56" i="5"/>
  <c r="AR54" i="5"/>
  <c r="AI104" i="5"/>
  <c r="AQ93" i="5"/>
  <c r="AH147" i="5"/>
  <c r="AL142" i="5"/>
  <c r="AK174" i="5"/>
  <c r="AO21" i="5"/>
  <c r="AM45" i="5"/>
  <c r="AO32" i="5"/>
  <c r="AM58" i="5"/>
  <c r="AM129" i="5"/>
  <c r="AO61" i="5"/>
  <c r="AO35" i="5"/>
  <c r="AO114" i="5"/>
  <c r="AM72" i="5"/>
  <c r="AM50" i="5"/>
  <c r="AM98" i="5"/>
  <c r="AM21" i="5"/>
  <c r="AO133" i="5"/>
  <c r="AO75" i="5"/>
  <c r="AM78" i="5"/>
  <c r="AO57" i="5" l="1"/>
  <c r="AO99" i="5"/>
  <c r="AG3" i="5"/>
  <c r="AL170" i="5"/>
  <c r="AP95" i="5"/>
  <c r="AN73" i="5"/>
  <c r="AK163" i="5"/>
  <c r="AO16" i="5"/>
  <c r="AO127" i="5"/>
  <c r="AO25" i="5"/>
  <c r="AM173" i="5"/>
  <c r="AL168" i="5"/>
  <c r="AR92" i="5"/>
  <c r="AN103" i="5"/>
  <c r="AI168" i="5"/>
  <c r="AP107" i="5"/>
  <c r="AH123" i="5"/>
  <c r="AH122" i="5"/>
  <c r="AM109" i="5"/>
  <c r="AQ122" i="5"/>
  <c r="AK100" i="5"/>
  <c r="AM54" i="5"/>
  <c r="AN168" i="5"/>
  <c r="AK107" i="5"/>
  <c r="AR167" i="5"/>
  <c r="AK142" i="5"/>
  <c r="AQ143" i="5"/>
  <c r="AM93" i="5"/>
  <c r="AK50" i="5"/>
  <c r="AO134" i="5"/>
  <c r="AM145" i="5"/>
  <c r="AM135" i="5"/>
  <c r="AJ161" i="5"/>
  <c r="AG95" i="5"/>
  <c r="AM122" i="5"/>
  <c r="AO59" i="5"/>
  <c r="AM30" i="5"/>
  <c r="AM32" i="5"/>
  <c r="AM130" i="5"/>
  <c r="AO15" i="5"/>
  <c r="AL165" i="5"/>
  <c r="AG69" i="5"/>
  <c r="AJ36" i="5"/>
  <c r="AO20" i="5"/>
  <c r="AQ160" i="5"/>
  <c r="AM105" i="5"/>
  <c r="AO116" i="5"/>
  <c r="AM117" i="5"/>
  <c r="AM97" i="5"/>
  <c r="AO52" i="5"/>
  <c r="AN150" i="5"/>
  <c r="AN48" i="5"/>
  <c r="AM7" i="5"/>
  <c r="AJ68" i="5"/>
  <c r="AQ42" i="5"/>
  <c r="AH168" i="5"/>
  <c r="AM132" i="5"/>
  <c r="AG111" i="5"/>
  <c r="AP171" i="5"/>
  <c r="AI105" i="5"/>
  <c r="AO86" i="5"/>
  <c r="AL134" i="5"/>
  <c r="AK35" i="5"/>
  <c r="AK121" i="5"/>
  <c r="AQ168" i="5"/>
  <c r="AQ44" i="5"/>
  <c r="AI43" i="5"/>
  <c r="AM56" i="5"/>
  <c r="AO92" i="5"/>
  <c r="AM4" i="5"/>
  <c r="AO170" i="5"/>
  <c r="AR174" i="5"/>
  <c r="AP127" i="5"/>
  <c r="AP20" i="5"/>
  <c r="AH132" i="5"/>
  <c r="AM39" i="5"/>
  <c r="AR168" i="5"/>
  <c r="AQ53" i="5"/>
  <c r="AQ150" i="5"/>
  <c r="AO74" i="5"/>
  <c r="AK144" i="5"/>
  <c r="AL103" i="5"/>
  <c r="AK53" i="5"/>
  <c r="AO129" i="5"/>
  <c r="AK165" i="5"/>
  <c r="AG140" i="5"/>
  <c r="AK83" i="5"/>
  <c r="AR141" i="5"/>
  <c r="AJ116" i="5"/>
  <c r="AN155" i="5"/>
  <c r="AM141" i="5"/>
  <c r="AM74" i="5"/>
  <c r="AJ117" i="5"/>
  <c r="AR62" i="5"/>
  <c r="AG71" i="5"/>
  <c r="AO89" i="5"/>
  <c r="AL159" i="5"/>
  <c r="AM158" i="5"/>
  <c r="AH90" i="5"/>
  <c r="AO5" i="5"/>
  <c r="AH23" i="5"/>
  <c r="AP53" i="5"/>
  <c r="AO128" i="5"/>
  <c r="AG112" i="5"/>
  <c r="AO67" i="5"/>
  <c r="AM41" i="5"/>
  <c r="AO27" i="5"/>
  <c r="AM19" i="5"/>
  <c r="AM168" i="5"/>
  <c r="AO144" i="5"/>
  <c r="AP130" i="5"/>
  <c r="AQ135" i="5"/>
  <c r="AK151" i="5"/>
  <c r="AK16" i="5"/>
  <c r="AO112" i="5"/>
  <c r="AI174" i="5"/>
  <c r="AG93" i="5"/>
  <c r="AJ111" i="5"/>
  <c r="AO156" i="5"/>
  <c r="AJ145" i="5"/>
  <c r="AN129" i="5"/>
  <c r="AN86" i="5"/>
  <c r="AP167" i="5"/>
  <c r="AH76" i="5"/>
  <c r="AL138" i="5"/>
  <c r="AP25" i="5"/>
  <c r="AQ154" i="5"/>
  <c r="AI8" i="5"/>
  <c r="AJ171" i="5"/>
  <c r="AO11" i="5"/>
  <c r="AM51" i="5"/>
  <c r="AN108" i="5"/>
  <c r="AO29" i="5"/>
  <c r="AI13" i="5"/>
  <c r="AH151" i="5"/>
  <c r="AN171" i="5"/>
  <c r="AL174" i="5"/>
  <c r="AO54" i="5"/>
  <c r="AN31" i="5"/>
  <c r="AQ95" i="5"/>
  <c r="AO26" i="5"/>
  <c r="AM6" i="5"/>
  <c r="AI32" i="5"/>
  <c r="AO101" i="5"/>
  <c r="AM171" i="5"/>
  <c r="AP136" i="5"/>
  <c r="AM138" i="5"/>
  <c r="AM114" i="5"/>
  <c r="AM27" i="5"/>
  <c r="AM164" i="5"/>
  <c r="AI134" i="5"/>
  <c r="AL133" i="5"/>
  <c r="AO125" i="5"/>
  <c r="AG114" i="5"/>
  <c r="AR160" i="5"/>
  <c r="AG88" i="5"/>
  <c r="AQ147" i="5"/>
  <c r="AP70" i="5"/>
  <c r="AI65" i="5"/>
  <c r="AK63" i="5"/>
  <c r="AQ149" i="5"/>
  <c r="AI172" i="5"/>
  <c r="AO60" i="5"/>
  <c r="AH110" i="5"/>
  <c r="AP90" i="5"/>
  <c r="AL161" i="5"/>
  <c r="AR48" i="5"/>
  <c r="AO151" i="5"/>
  <c r="AQ112" i="5"/>
  <c r="AM163" i="5"/>
  <c r="AP149" i="5"/>
  <c r="AJ113" i="5"/>
  <c r="AK54" i="5"/>
  <c r="AK148" i="5"/>
  <c r="AO121" i="5"/>
  <c r="AM31" i="5"/>
  <c r="AO93" i="5"/>
  <c r="AK161" i="5"/>
  <c r="AK45" i="5"/>
  <c r="AL108" i="5"/>
  <c r="AG15" i="5"/>
  <c r="AH130" i="5"/>
  <c r="AK130" i="5"/>
  <c r="AR155" i="5"/>
  <c r="AL14" i="5"/>
  <c r="AQ56" i="5"/>
  <c r="AL84" i="5"/>
  <c r="AP21" i="5"/>
  <c r="AN95" i="5"/>
  <c r="AQ152" i="5"/>
  <c r="AQ77" i="5"/>
  <c r="AP132" i="5"/>
  <c r="AR142" i="5"/>
  <c r="AH171" i="5"/>
  <c r="AJ172" i="5"/>
  <c r="AI101" i="5"/>
  <c r="AO124" i="5"/>
  <c r="AN146" i="5"/>
  <c r="AK131" i="5"/>
  <c r="AP133" i="5"/>
  <c r="AR98" i="5"/>
  <c r="AR161" i="5"/>
  <c r="AH121" i="5"/>
  <c r="AO19" i="5"/>
  <c r="AM143" i="5"/>
  <c r="AM116" i="5"/>
  <c r="AO82" i="5"/>
  <c r="AN118" i="5"/>
  <c r="AK89" i="5"/>
  <c r="AR75" i="5"/>
  <c r="AJ18" i="5"/>
  <c r="AM61" i="5"/>
  <c r="AO135" i="5"/>
  <c r="AR104" i="5"/>
  <c r="AO143" i="5"/>
  <c r="AM127" i="5"/>
  <c r="AO98" i="5"/>
  <c r="AM15" i="5"/>
  <c r="AM144" i="5"/>
  <c r="AM29" i="5"/>
  <c r="AM94" i="5"/>
  <c r="AM101" i="5"/>
  <c r="AM69" i="5"/>
  <c r="AO37" i="5"/>
  <c r="AJ164" i="5"/>
  <c r="AG157" i="5"/>
  <c r="AI171" i="5"/>
  <c r="AK22" i="5"/>
  <c r="AH153" i="5"/>
  <c r="AL81" i="5"/>
  <c r="AO111" i="5"/>
  <c r="AP143" i="5"/>
  <c r="AP85" i="5"/>
  <c r="AP45" i="5"/>
  <c r="AR88" i="5"/>
  <c r="AG35" i="5"/>
  <c r="AJ82" i="5"/>
  <c r="AG144" i="5"/>
  <c r="AK69" i="5"/>
  <c r="AR140" i="5"/>
  <c r="AP11" i="5"/>
  <c r="AJ142" i="5"/>
  <c r="AR170" i="5"/>
  <c r="AH98" i="5"/>
  <c r="AI87" i="5"/>
  <c r="AK171" i="5"/>
  <c r="AL105" i="5"/>
  <c r="AN87" i="5"/>
  <c r="AK140" i="5"/>
  <c r="AO141" i="5"/>
  <c r="AM20" i="5"/>
  <c r="AM119" i="5"/>
  <c r="AO72" i="5"/>
  <c r="AO56" i="5"/>
  <c r="AM36" i="5"/>
  <c r="AP146" i="5"/>
  <c r="AI68" i="5"/>
  <c r="AG91" i="5"/>
  <c r="AM166" i="5"/>
  <c r="AR164" i="5"/>
  <c r="AP139" i="5"/>
  <c r="AG163" i="5"/>
  <c r="AG42" i="5"/>
  <c r="AP42" i="5"/>
  <c r="AR158" i="5"/>
  <c r="AG150" i="5"/>
  <c r="AN121" i="5"/>
  <c r="AN28" i="5"/>
  <c r="AH86" i="5"/>
  <c r="AK114" i="5"/>
  <c r="AM40" i="5"/>
  <c r="AL77" i="5"/>
  <c r="AP162" i="5"/>
  <c r="AN116" i="5"/>
  <c r="AK172" i="5"/>
  <c r="AP72" i="5"/>
  <c r="AI128" i="5"/>
  <c r="AG84" i="5"/>
  <c r="AG80" i="5"/>
  <c r="AJ60" i="5"/>
  <c r="AN101" i="5"/>
  <c r="AM90" i="5"/>
  <c r="AO23" i="5"/>
  <c r="AN132" i="5"/>
  <c r="AK23" i="5"/>
  <c r="AJ65" i="5"/>
  <c r="AJ167" i="5"/>
  <c r="AM11" i="5"/>
  <c r="AI74" i="5"/>
  <c r="AO36" i="5"/>
  <c r="AM49" i="5"/>
  <c r="AK61" i="5"/>
  <c r="AK164" i="5"/>
  <c r="AP7" i="5"/>
  <c r="AG100" i="5"/>
  <c r="AP135" i="5"/>
  <c r="AO9" i="5"/>
  <c r="AO102" i="5"/>
  <c r="AP169" i="5"/>
  <c r="AN15" i="5"/>
  <c r="AR91" i="5"/>
  <c r="AP163" i="5"/>
  <c r="AN35" i="5"/>
  <c r="AK93" i="5"/>
  <c r="AG86" i="5"/>
  <c r="AK166" i="5"/>
  <c r="AO70" i="5"/>
  <c r="AI102" i="5"/>
  <c r="AM118" i="5"/>
  <c r="AM160" i="5"/>
  <c r="AO95" i="5"/>
  <c r="AI56" i="5"/>
  <c r="AO81" i="5"/>
  <c r="AG165" i="5"/>
  <c r="AJ80" i="5"/>
  <c r="AQ86" i="5"/>
  <c r="AH162" i="5"/>
  <c r="AN128" i="5"/>
  <c r="AH88" i="5"/>
  <c r="AK124" i="5"/>
  <c r="AH21" i="5"/>
  <c r="AN149" i="5"/>
  <c r="AG46" i="5"/>
  <c r="AL169" i="5"/>
  <c r="AN29" i="5"/>
  <c r="AJ144" i="5"/>
  <c r="AH155" i="5"/>
  <c r="AL113" i="5"/>
  <c r="AM75" i="5"/>
  <c r="AQ121" i="5"/>
  <c r="AO136" i="5"/>
  <c r="AO115" i="5"/>
  <c r="AN151" i="5"/>
  <c r="AQ83" i="5"/>
  <c r="AP63" i="5"/>
  <c r="AH15" i="5"/>
  <c r="AN164" i="5"/>
  <c r="AN96" i="5"/>
  <c r="AK65" i="5"/>
  <c r="AN127" i="5"/>
  <c r="AP74" i="5"/>
  <c r="AQ126" i="5"/>
  <c r="AI112" i="5"/>
  <c r="AH152" i="5"/>
  <c r="AR169" i="5"/>
  <c r="AG67" i="5"/>
  <c r="AQ158" i="5"/>
  <c r="AN148" i="5"/>
  <c r="AP92" i="5"/>
  <c r="AO153" i="5"/>
  <c r="AG113" i="5"/>
  <c r="AN12" i="5"/>
  <c r="AQ103" i="5"/>
  <c r="AL167" i="5"/>
  <c r="AO167" i="5"/>
  <c r="AM65" i="5"/>
  <c r="AP113" i="5"/>
  <c r="AH142" i="5"/>
  <c r="AG117" i="5"/>
  <c r="AP172" i="5"/>
  <c r="AG168" i="5"/>
  <c r="AO130" i="5"/>
  <c r="AM137" i="5"/>
  <c r="AM121" i="5"/>
  <c r="AM3" i="5"/>
  <c r="AM151" i="5"/>
  <c r="AM24" i="5"/>
  <c r="AM125" i="5"/>
  <c r="AM174" i="5"/>
  <c r="AM106" i="5"/>
  <c r="AO3" i="5"/>
  <c r="AH150" i="5"/>
  <c r="AR113" i="5"/>
  <c r="AM76" i="5"/>
  <c r="AP122" i="5"/>
  <c r="AI155" i="5"/>
  <c r="AH64" i="5"/>
  <c r="AR144" i="5"/>
  <c r="AP156" i="5"/>
  <c r="AG171" i="5"/>
  <c r="AJ26" i="5"/>
  <c r="AM88" i="5"/>
  <c r="AQ23" i="5"/>
  <c r="AM161" i="5"/>
  <c r="AQ137" i="5"/>
  <c r="AQ17" i="5"/>
  <c r="AL34" i="5"/>
  <c r="AR107" i="5"/>
  <c r="AH112" i="5"/>
  <c r="AO163" i="5"/>
  <c r="AM131" i="5"/>
  <c r="AM149" i="5"/>
  <c r="AK128" i="5"/>
  <c r="AO28" i="5"/>
  <c r="AM107" i="5"/>
  <c r="AG51" i="5"/>
  <c r="AK57" i="5"/>
  <c r="AQ79" i="5"/>
  <c r="AJ139" i="5"/>
  <c r="AQ156" i="5"/>
  <c r="AK71" i="5"/>
  <c r="AO150" i="5"/>
  <c r="AR97" i="5"/>
  <c r="AK158" i="5"/>
  <c r="AR27" i="5"/>
  <c r="AK37" i="5"/>
  <c r="AH141" i="5"/>
  <c r="AQ172" i="5"/>
  <c r="AH3" i="5"/>
  <c r="AL76" i="5"/>
  <c r="AH114" i="5"/>
  <c r="AL145" i="5"/>
  <c r="AO161" i="5"/>
  <c r="AQ50" i="5"/>
  <c r="AR102" i="5"/>
  <c r="AM18" i="5"/>
  <c r="AO10" i="5"/>
  <c r="AH96" i="5"/>
  <c r="AR138" i="5"/>
  <c r="AJ138" i="5"/>
  <c r="AQ84" i="5"/>
  <c r="AO159" i="5"/>
  <c r="AL106" i="5"/>
  <c r="AP138" i="5"/>
  <c r="AG124" i="5"/>
  <c r="AL68" i="5"/>
  <c r="AN113" i="5"/>
  <c r="AN167" i="5"/>
  <c r="AG159" i="5"/>
  <c r="AM124" i="5"/>
  <c r="AG145" i="5"/>
  <c r="AR112" i="5"/>
  <c r="AL99" i="5"/>
  <c r="AG141" i="5"/>
  <c r="AO97" i="5"/>
  <c r="AP89" i="5"/>
  <c r="AP64" i="5"/>
  <c r="AG172" i="5"/>
  <c r="AR147" i="5"/>
  <c r="AO45" i="5"/>
  <c r="AM128" i="5"/>
  <c r="AL79" i="5"/>
  <c r="AK120" i="5"/>
  <c r="AG116" i="5"/>
  <c r="AP161" i="5"/>
  <c r="AL155" i="5"/>
  <c r="AO166" i="5"/>
  <c r="AO42" i="5"/>
  <c r="AO43" i="5"/>
  <c r="AM59" i="5"/>
  <c r="AM167" i="5"/>
  <c r="AO65" i="5"/>
  <c r="AM10" i="5"/>
  <c r="AM8" i="5"/>
  <c r="AM52" i="5"/>
  <c r="AO40" i="5"/>
  <c r="AR58" i="5"/>
  <c r="AL164" i="5"/>
  <c r="AK70" i="5"/>
  <c r="AG85" i="5"/>
  <c r="AR110" i="5"/>
  <c r="AG118" i="5"/>
  <c r="AP131" i="5"/>
  <c r="AO50" i="5"/>
  <c r="AQ148" i="5"/>
  <c r="AJ76" i="5"/>
  <c r="AR159" i="5"/>
  <c r="AP150" i="5"/>
  <c r="AR86" i="5"/>
  <c r="AJ148" i="5"/>
  <c r="AQ161" i="5"/>
  <c r="AH127" i="5"/>
  <c r="AJ166" i="5"/>
  <c r="AL32" i="5"/>
  <c r="AQ29" i="5"/>
  <c r="AH135" i="5"/>
  <c r="AO4" i="5"/>
  <c r="AO44" i="5"/>
  <c r="AG77" i="5"/>
  <c r="AI88" i="5"/>
  <c r="AJ123" i="5"/>
  <c r="AK162" i="5"/>
  <c r="AM123" i="5"/>
  <c r="AM154" i="5"/>
  <c r="AK138" i="5"/>
  <c r="AG161" i="5"/>
  <c r="AL92" i="5"/>
  <c r="AN152" i="5"/>
  <c r="AP28" i="5"/>
  <c r="AK145" i="5"/>
  <c r="AL171" i="5"/>
  <c r="AI99" i="5"/>
  <c r="AI100" i="5"/>
  <c r="AM169" i="5"/>
  <c r="AI173" i="5"/>
  <c r="AP117" i="5"/>
  <c r="AP128" i="5"/>
  <c r="AQ48" i="5"/>
  <c r="AR139" i="5"/>
  <c r="AJ118" i="5"/>
  <c r="AR93" i="5"/>
  <c r="AO47" i="5"/>
  <c r="AK115" i="5"/>
  <c r="AH137" i="5"/>
  <c r="AN130" i="5"/>
  <c r="AK118" i="5"/>
  <c r="AM103" i="5"/>
  <c r="AM34" i="5"/>
  <c r="AN3" i="5"/>
  <c r="AO104" i="5"/>
  <c r="AQ115" i="5"/>
  <c r="AM47" i="5"/>
  <c r="AM84" i="5"/>
  <c r="AK94" i="5"/>
  <c r="AN45" i="5"/>
  <c r="AH87" i="5"/>
  <c r="AG154" i="5"/>
  <c r="AR129" i="5"/>
  <c r="AO132" i="5"/>
  <c r="AH46" i="5"/>
  <c r="AP118" i="5"/>
  <c r="AK150" i="5"/>
  <c r="AP158" i="5"/>
  <c r="AJ168" i="5"/>
  <c r="AJ141" i="5"/>
  <c r="AJ170" i="5"/>
  <c r="AP166" i="5"/>
  <c r="AI47" i="5"/>
  <c r="AN147" i="5"/>
  <c r="AM110" i="5"/>
  <c r="AM53" i="5"/>
  <c r="AJ73" i="5"/>
  <c r="AG102" i="5"/>
  <c r="AH139" i="5"/>
  <c r="AG87" i="5"/>
  <c r="AQ118" i="5"/>
  <c r="AI70" i="5"/>
  <c r="AL163" i="5"/>
  <c r="AQ159" i="5"/>
  <c r="AK152" i="5"/>
  <c r="AO71" i="5"/>
  <c r="AM33" i="5"/>
  <c r="AM68" i="5"/>
  <c r="AG78" i="5"/>
  <c r="AQ128" i="5"/>
  <c r="AI132" i="5"/>
  <c r="AO157" i="5"/>
  <c r="AI167" i="5"/>
  <c r="AK129" i="5"/>
  <c r="AI33" i="5"/>
  <c r="AL129" i="5"/>
  <c r="AN145" i="5"/>
  <c r="AJ87" i="5"/>
  <c r="AP154" i="5"/>
  <c r="AJ174" i="5"/>
  <c r="AN139" i="5"/>
  <c r="AI114" i="5"/>
  <c r="AQ164" i="5"/>
  <c r="AI72" i="5"/>
  <c r="AG43" i="5"/>
  <c r="AO152" i="5"/>
  <c r="AL152" i="5"/>
  <c r="AG99" i="5"/>
  <c r="AM37" i="5"/>
  <c r="AO41" i="5"/>
  <c r="AM42" i="5"/>
  <c r="AM9" i="5"/>
  <c r="AI147" i="5"/>
  <c r="AK132" i="5"/>
  <c r="AO7" i="5"/>
  <c r="AL150" i="5"/>
  <c r="AO164" i="5"/>
  <c r="AI73" i="5"/>
  <c r="AH174" i="5"/>
  <c r="AJ159" i="5"/>
  <c r="AR44" i="5"/>
  <c r="AL93" i="5"/>
  <c r="AG164" i="5"/>
  <c r="AG162" i="5"/>
  <c r="AR49" i="5"/>
  <c r="AJ97" i="5"/>
  <c r="AN159" i="5"/>
  <c r="AM85" i="5"/>
  <c r="AO63" i="5"/>
  <c r="AM63" i="5"/>
  <c r="AM80" i="5"/>
  <c r="AR146" i="5"/>
  <c r="AG23" i="5"/>
  <c r="AI123" i="5"/>
  <c r="AP99" i="5"/>
  <c r="AM133" i="5"/>
  <c r="AH170" i="5"/>
  <c r="AP164" i="5"/>
  <c r="AI62" i="5"/>
  <c r="AQ88" i="5"/>
  <c r="AO96" i="5"/>
  <c r="AQ171" i="5"/>
  <c r="AJ112" i="5"/>
  <c r="AG89" i="5"/>
  <c r="AK125" i="5"/>
  <c r="AN172" i="5"/>
  <c r="AN94" i="5"/>
  <c r="AN157" i="5"/>
  <c r="AO107" i="5"/>
  <c r="AQ105" i="5"/>
  <c r="AP141" i="5"/>
  <c r="AJ125" i="5"/>
  <c r="AP56" i="5"/>
  <c r="AR145" i="5"/>
  <c r="AO39" i="5"/>
  <c r="AN32" i="5"/>
  <c r="AH52" i="5"/>
  <c r="AJ119" i="5"/>
  <c r="AK51" i="5"/>
  <c r="AO69" i="5"/>
  <c r="AO73" i="5"/>
  <c r="AO83" i="5"/>
  <c r="AM55" i="5"/>
  <c r="AH173" i="5"/>
  <c r="AP104" i="5"/>
  <c r="AJ143" i="5"/>
  <c r="AM87" i="5"/>
  <c r="AK170" i="5"/>
  <c r="AL53" i="5"/>
  <c r="AQ146" i="5"/>
  <c r="AL91" i="5"/>
  <c r="AM134" i="5"/>
  <c r="AP77" i="5"/>
  <c r="AR64" i="5"/>
  <c r="AN110" i="5"/>
  <c r="AH164" i="5"/>
  <c r="AG119" i="5"/>
  <c r="AL116" i="5"/>
  <c r="AK153" i="5"/>
  <c r="AO8" i="5"/>
  <c r="AI137" i="5"/>
  <c r="AH48" i="5"/>
  <c r="AR70" i="5"/>
  <c r="AN97" i="5"/>
  <c r="AN140" i="5"/>
  <c r="AL131" i="5"/>
  <c r="AI117" i="5"/>
  <c r="AI57" i="5"/>
  <c r="AR151" i="5"/>
  <c r="AG122" i="5"/>
  <c r="AL85" i="5"/>
  <c r="AQ170" i="5"/>
  <c r="AQ127" i="5"/>
  <c r="AJ41" i="5"/>
  <c r="AI131" i="5"/>
  <c r="AR125" i="5"/>
  <c r="AN134" i="5"/>
  <c r="AL94" i="5"/>
  <c r="AK109" i="5"/>
  <c r="AM172" i="5"/>
  <c r="AM28" i="5"/>
  <c r="AM57" i="5"/>
  <c r="AM67" i="5"/>
  <c r="AM43" i="5"/>
  <c r="AM139" i="5"/>
  <c r="AO38" i="5"/>
  <c r="AJ147" i="5"/>
  <c r="AJ71" i="5"/>
  <c r="AG37" i="5"/>
  <c r="AP38" i="5"/>
  <c r="AO113" i="5"/>
  <c r="AK113" i="5"/>
  <c r="AH93" i="5"/>
  <c r="AP51" i="5"/>
  <c r="AJ152" i="5"/>
  <c r="AK91" i="5"/>
  <c r="AN69" i="5"/>
  <c r="AN165" i="5"/>
  <c r="AL69" i="5"/>
  <c r="AL6" i="5"/>
  <c r="AJ157" i="5"/>
  <c r="AR175" i="5"/>
  <c r="AL114" i="5"/>
  <c r="AJ96" i="5"/>
  <c r="AI35" i="5"/>
  <c r="AQ36" i="5"/>
  <c r="AH172" i="5"/>
  <c r="AI138" i="5"/>
  <c r="AR126" i="5"/>
  <c r="AK80" i="5"/>
  <c r="AG126" i="5"/>
  <c r="AQ125" i="5"/>
  <c r="AM44" i="5"/>
  <c r="AG83" i="5"/>
  <c r="AR109" i="5"/>
  <c r="AL37" i="5"/>
  <c r="AR128" i="5"/>
  <c r="AL146" i="5"/>
  <c r="AN123" i="5"/>
  <c r="AM140" i="5"/>
  <c r="AJ129" i="5"/>
  <c r="AK168" i="5"/>
  <c r="AI75" i="5"/>
  <c r="AJ95" i="5"/>
  <c r="AO120" i="5"/>
  <c r="AO87" i="5"/>
  <c r="AQ155" i="5"/>
  <c r="AN174" i="5"/>
  <c r="AH72" i="5"/>
  <c r="AR77" i="5"/>
  <c r="AK110" i="5"/>
  <c r="AR124" i="5"/>
  <c r="AH104" i="5"/>
  <c r="AJ98" i="5"/>
  <c r="AR41" i="5"/>
  <c r="AR32" i="5"/>
  <c r="AM46" i="5"/>
  <c r="AO79" i="5"/>
  <c r="AM108" i="5"/>
  <c r="AM86" i="5"/>
  <c r="AM82" i="5"/>
  <c r="AO100" i="5"/>
  <c r="AO106" i="5"/>
  <c r="AO48" i="5"/>
  <c r="AM175" i="5"/>
  <c r="AM26" i="5"/>
  <c r="AO168" i="5"/>
  <c r="AO17" i="5"/>
  <c r="AO30" i="5"/>
  <c r="AI159" i="5"/>
  <c r="AI154" i="5"/>
  <c r="AH128" i="5"/>
  <c r="AR136" i="5"/>
  <c r="AJ91" i="5"/>
  <c r="AI121" i="5"/>
  <c r="AN24" i="5"/>
  <c r="AJ43" i="5"/>
  <c r="AO78" i="5"/>
  <c r="AO145" i="5"/>
  <c r="AI122" i="5"/>
  <c r="AG146" i="5"/>
  <c r="AN92" i="5"/>
  <c r="AP100" i="5"/>
  <c r="AQ54" i="5"/>
  <c r="AM156" i="5"/>
  <c r="AP148" i="5"/>
  <c r="AQ169" i="5"/>
  <c r="AP98" i="5"/>
  <c r="AH89" i="5"/>
  <c r="AI51" i="5"/>
  <c r="AR67" i="5"/>
  <c r="AO154" i="5"/>
  <c r="AH160" i="5"/>
  <c r="AQ99" i="5"/>
  <c r="AJ57" i="5"/>
  <c r="AR108" i="5"/>
  <c r="AO119" i="5"/>
  <c r="AJ126" i="5"/>
  <c r="AL100" i="5"/>
  <c r="AJ127" i="5"/>
  <c r="AH157" i="5"/>
  <c r="AR152" i="5"/>
  <c r="AH9" i="5"/>
  <c r="AI160" i="5"/>
  <c r="AR119" i="5"/>
  <c r="AG94" i="5"/>
  <c r="AL82" i="5"/>
  <c r="AQ47" i="5"/>
  <c r="AL112" i="5"/>
  <c r="AG33" i="5"/>
  <c r="AR117" i="5"/>
  <c r="AK5" i="5"/>
  <c r="AK104" i="5"/>
  <c r="AO147" i="5"/>
  <c r="AI129" i="5"/>
  <c r="AK74" i="5"/>
  <c r="AP155" i="5"/>
  <c r="AO110" i="5"/>
  <c r="AN57" i="5"/>
  <c r="AI54" i="5"/>
  <c r="AQ91" i="5"/>
  <c r="AG14" i="5"/>
  <c r="AQ94" i="5"/>
  <c r="AG61" i="5"/>
  <c r="AO155" i="5"/>
  <c r="AN170" i="5"/>
  <c r="AR83" i="5"/>
  <c r="AJ137" i="5"/>
  <c r="AL104" i="5"/>
  <c r="AM102" i="5"/>
  <c r="AM157" i="5"/>
  <c r="AJ169" i="5"/>
  <c r="AN53" i="5"/>
  <c r="AK87" i="5"/>
  <c r="AO140" i="5"/>
  <c r="AG138" i="5"/>
  <c r="AR74" i="5"/>
  <c r="AN122" i="5"/>
  <c r="AJ46" i="5"/>
  <c r="AI175" i="5"/>
  <c r="AJ134" i="5"/>
  <c r="AO103" i="5"/>
  <c r="AO31" i="5"/>
  <c r="AO58" i="5"/>
  <c r="AM147" i="5"/>
  <c r="AM25" i="5"/>
  <c r="AO13" i="5"/>
  <c r="AM60" i="5"/>
  <c r="AO90" i="5"/>
  <c r="AM62" i="5"/>
  <c r="AM170" i="5"/>
  <c r="AM22" i="5"/>
  <c r="AO77" i="5"/>
  <c r="AO172" i="5"/>
  <c r="AQ165" i="5"/>
  <c r="AQ49" i="5"/>
  <c r="AN166" i="5"/>
  <c r="AK105" i="5"/>
  <c r="AQ117" i="5"/>
  <c r="AQ76" i="5"/>
  <c r="AP97" i="5"/>
  <c r="AM17" i="5"/>
  <c r="AO117" i="5"/>
  <c r="AO175" i="5"/>
  <c r="AP160" i="5"/>
  <c r="AQ157" i="5"/>
  <c r="AH103" i="5"/>
  <c r="AL130" i="5"/>
  <c r="AL74" i="5"/>
  <c r="AO49" i="5"/>
  <c r="AG135" i="5"/>
  <c r="AI81" i="5"/>
  <c r="AG127" i="5"/>
  <c r="AG92" i="5"/>
  <c r="AL109" i="5"/>
  <c r="AK34" i="5"/>
  <c r="AJ163" i="5"/>
  <c r="AH143" i="5"/>
  <c r="AP93" i="5"/>
  <c r="AI59" i="5"/>
  <c r="AI143" i="5"/>
  <c r="AG156" i="5"/>
  <c r="AR157" i="5"/>
  <c r="AI110" i="5"/>
  <c r="AI86" i="5"/>
  <c r="AL135" i="5"/>
  <c r="AI109" i="5"/>
  <c r="AL23" i="5"/>
  <c r="AL160" i="5"/>
  <c r="AN68" i="5"/>
  <c r="AK24" i="5"/>
  <c r="AQ31" i="5"/>
  <c r="AJ105" i="5"/>
  <c r="AL35" i="5"/>
  <c r="AK119" i="5"/>
  <c r="AQ20" i="5"/>
  <c r="AP157" i="5"/>
  <c r="AP109" i="5"/>
  <c r="AJ133" i="5"/>
  <c r="AI40" i="5"/>
  <c r="AK146" i="5"/>
  <c r="AM100" i="5"/>
  <c r="AI120" i="5"/>
  <c r="AN163" i="5"/>
  <c r="AN138" i="5"/>
  <c r="AG166" i="5"/>
  <c r="AL172" i="5"/>
  <c r="AG63" i="5"/>
  <c r="AL12" i="5"/>
  <c r="AO109" i="5"/>
  <c r="AK123" i="5"/>
  <c r="AI133" i="5"/>
  <c r="AR21" i="5"/>
  <c r="AO105" i="5"/>
  <c r="AR101" i="5"/>
  <c r="AR20" i="5"/>
  <c r="AK160" i="5"/>
  <c r="AG5" i="5"/>
  <c r="AP67" i="5"/>
  <c r="AQ90" i="5"/>
  <c r="AO138" i="5"/>
  <c r="AG34" i="5"/>
  <c r="AG106" i="5"/>
  <c r="AK29" i="5"/>
  <c r="AG137" i="5"/>
  <c r="AH29" i="5"/>
  <c r="AR106" i="5"/>
  <c r="AQ68" i="5"/>
  <c r="AM162" i="5"/>
  <c r="AI150" i="5"/>
  <c r="AP86" i="5"/>
  <c r="AK84" i="5"/>
  <c r="AM165" i="5"/>
  <c r="AI169" i="5"/>
  <c r="AQ151" i="5"/>
  <c r="AP134" i="5"/>
  <c r="AJ160" i="5"/>
  <c r="AK86" i="5"/>
  <c r="AP147" i="5"/>
  <c r="AJ23" i="5"/>
  <c r="AO142" i="5"/>
  <c r="AK81" i="5"/>
  <c r="AR133" i="5"/>
  <c r="AL75" i="5"/>
  <c r="AO34" i="5"/>
  <c r="AH131" i="5"/>
  <c r="AO165" i="5"/>
  <c r="AG128" i="5"/>
  <c r="AO118" i="5"/>
  <c r="AK98" i="5"/>
  <c r="AI31" i="5"/>
  <c r="AN153" i="5"/>
  <c r="AO62" i="5"/>
  <c r="AQ104" i="5"/>
  <c r="AN144" i="5"/>
  <c r="AQ67" i="5"/>
  <c r="AN39" i="5"/>
  <c r="AG39" i="5"/>
  <c r="AH42" i="5"/>
  <c r="AH20" i="5"/>
  <c r="AR71" i="5"/>
  <c r="AO6" i="5"/>
  <c r="AN111" i="5"/>
  <c r="AG75" i="5"/>
  <c r="AP61" i="5"/>
  <c r="AI93" i="5"/>
  <c r="AM96" i="5"/>
  <c r="AQ144" i="5"/>
  <c r="AQ133" i="5"/>
  <c r="AK43" i="5"/>
  <c r="AI164" i="5"/>
  <c r="AL98" i="5"/>
  <c r="AN8" i="5"/>
  <c r="AH158" i="5"/>
  <c r="AJ158" i="5"/>
  <c r="AN40" i="5"/>
  <c r="AN137" i="5"/>
  <c r="AI24" i="5"/>
  <c r="AP101" i="5"/>
  <c r="AR165" i="5"/>
  <c r="AN60" i="5"/>
  <c r="AR103" i="5"/>
  <c r="AJ12" i="5"/>
  <c r="AQ9" i="5"/>
  <c r="AL87" i="5"/>
  <c r="AI91" i="5"/>
  <c r="AM38" i="5"/>
  <c r="AN114" i="5"/>
  <c r="AL57" i="5"/>
  <c r="AI125" i="5"/>
  <c r="AK28" i="5"/>
  <c r="AI45" i="5"/>
  <c r="AN104" i="5"/>
  <c r="AM91" i="5"/>
  <c r="AO148" i="5"/>
  <c r="AK173" i="5"/>
  <c r="AJ131" i="5"/>
  <c r="AH71" i="5"/>
  <c r="AN156" i="5"/>
  <c r="AG160" i="5"/>
  <c r="AN160" i="5"/>
  <c r="AI152" i="5"/>
  <c r="AQ130" i="5"/>
  <c r="AH65" i="5"/>
  <c r="AG151" i="5"/>
  <c r="AH126" i="5"/>
  <c r="AO122" i="5"/>
  <c r="AH95" i="5"/>
  <c r="AM48" i="5"/>
  <c r="AL173" i="5"/>
  <c r="AL125" i="5"/>
  <c r="AR171" i="5"/>
  <c r="AR120" i="5"/>
  <c r="AI19" i="5"/>
  <c r="AL118" i="5"/>
  <c r="AJ48" i="5"/>
  <c r="AK117" i="5"/>
  <c r="AK6" i="5"/>
  <c r="AL128" i="5"/>
  <c r="AK175" i="5"/>
  <c r="AK103" i="5"/>
  <c r="AK4" i="5"/>
  <c r="AP102" i="5"/>
  <c r="AG129" i="5"/>
  <c r="AN59" i="5"/>
  <c r="AR63" i="5"/>
  <c r="AI161" i="5"/>
  <c r="AJ92" i="5"/>
  <c r="AL55" i="5"/>
  <c r="AL22" i="5"/>
  <c r="AR22" i="5"/>
  <c r="AR12" i="5"/>
  <c r="AH124" i="5"/>
  <c r="AR135" i="5"/>
  <c r="AN126" i="5"/>
  <c r="AR127" i="5"/>
  <c r="AR156" i="5"/>
  <c r="AR76" i="5"/>
  <c r="AJ93" i="5"/>
  <c r="AL78" i="5"/>
  <c r="AP76" i="5"/>
  <c r="AH27" i="5"/>
  <c r="AR16" i="5"/>
  <c r="AR4" i="5"/>
  <c r="AI85" i="5"/>
  <c r="AJ90" i="5"/>
  <c r="AP73" i="5"/>
  <c r="AQ74" i="5"/>
  <c r="AN84" i="5"/>
  <c r="AI153" i="5"/>
  <c r="AH67" i="5"/>
  <c r="AL52" i="5"/>
  <c r="AG28" i="5"/>
  <c r="AK79" i="5"/>
  <c r="AJ70" i="5"/>
  <c r="AJ50" i="5"/>
  <c r="AI165" i="5"/>
  <c r="AJ101" i="5"/>
  <c r="AP69" i="5"/>
  <c r="AI144" i="5"/>
  <c r="AJ115" i="5"/>
  <c r="AL66" i="5"/>
  <c r="AH57" i="5"/>
  <c r="AG174" i="5"/>
  <c r="AG104" i="5"/>
  <c r="AQ175" i="5"/>
  <c r="AR150" i="5"/>
  <c r="AN154" i="5"/>
  <c r="AI64" i="5"/>
  <c r="AR149" i="5"/>
  <c r="AN44" i="5"/>
  <c r="AI130" i="5"/>
  <c r="AP35" i="5"/>
  <c r="AJ14" i="5"/>
  <c r="AL137" i="5"/>
  <c r="AP41" i="5"/>
  <c r="AR55" i="5"/>
  <c r="AJ64" i="5"/>
  <c r="AQ41" i="5"/>
  <c r="AL149" i="5"/>
  <c r="AL27" i="5"/>
  <c r="AL45" i="5"/>
  <c r="AO162" i="5"/>
  <c r="AQ136" i="5"/>
  <c r="AP80" i="5"/>
  <c r="AR100" i="5"/>
  <c r="AH44" i="5"/>
  <c r="AP40" i="5"/>
  <c r="AQ129" i="5"/>
  <c r="AR65" i="5"/>
  <c r="AJ69" i="5"/>
  <c r="AR154" i="5"/>
  <c r="AN100" i="5"/>
  <c r="AG123" i="5"/>
  <c r="AN41" i="5"/>
  <c r="AG36" i="5"/>
  <c r="AN72" i="5"/>
  <c r="AJ17" i="5"/>
  <c r="AK21" i="5"/>
  <c r="AM113" i="5"/>
  <c r="AP151" i="5"/>
  <c r="AQ80" i="5"/>
  <c r="AN93" i="5"/>
  <c r="AJ155" i="5"/>
  <c r="AJ78" i="5"/>
  <c r="AJ124" i="5"/>
  <c r="AK3" i="5"/>
  <c r="AL15" i="5"/>
  <c r="AM14" i="5"/>
  <c r="AM152" i="5"/>
  <c r="AN173" i="5"/>
  <c r="AI126" i="5"/>
  <c r="AL72" i="5"/>
  <c r="AL101" i="5"/>
  <c r="AO80" i="5"/>
  <c r="AG167" i="5"/>
  <c r="AN142" i="5"/>
  <c r="AL143" i="5"/>
  <c r="AN74" i="5"/>
  <c r="AO169" i="5"/>
  <c r="AH133" i="5"/>
  <c r="AQ96" i="5"/>
  <c r="AJ128" i="5"/>
  <c r="AN91" i="5"/>
  <c r="AH166" i="5"/>
  <c r="AQ138" i="5"/>
  <c r="AR87" i="5"/>
  <c r="AI148" i="5"/>
  <c r="AM155" i="5"/>
  <c r="AQ141" i="5"/>
  <c r="AN143" i="5"/>
  <c r="AP126" i="5"/>
  <c r="AM13" i="5"/>
  <c r="AO131" i="5"/>
  <c r="AG152" i="5"/>
  <c r="AG98" i="5"/>
  <c r="AQ15" i="5"/>
  <c r="AG130" i="5"/>
  <c r="AP103" i="5"/>
  <c r="AH159" i="5"/>
  <c r="AL49" i="5"/>
  <c r="AP34" i="5"/>
  <c r="AJ29" i="5"/>
  <c r="AJ34" i="5"/>
  <c r="AL127" i="5"/>
  <c r="AR52" i="5"/>
  <c r="AP68" i="5"/>
  <c r="AI83" i="5"/>
  <c r="AN42" i="5"/>
  <c r="AP31" i="5"/>
  <c r="AK55" i="5"/>
  <c r="AI103" i="5"/>
  <c r="AN61" i="5"/>
  <c r="AQ58" i="5"/>
  <c r="AL136" i="5"/>
  <c r="AR172" i="5"/>
  <c r="AK92" i="5"/>
  <c r="AN51" i="5"/>
  <c r="AR137" i="5"/>
  <c r="AH62" i="5"/>
  <c r="AQ35" i="5"/>
  <c r="AG50" i="5"/>
  <c r="AJ5" i="5"/>
  <c r="AG57" i="5"/>
  <c r="AG170" i="5"/>
  <c r="AH107" i="5"/>
  <c r="AM70" i="5"/>
  <c r="AH129" i="5"/>
  <c r="AH119" i="5"/>
  <c r="AK116" i="5"/>
  <c r="AP153" i="5"/>
  <c r="AG21" i="5"/>
  <c r="AI50" i="5"/>
  <c r="AK155" i="5"/>
  <c r="AK64" i="5"/>
  <c r="AN9" i="5"/>
  <c r="AN102" i="5"/>
  <c r="AH94" i="5"/>
  <c r="AI106" i="5"/>
  <c r="AP5" i="5"/>
  <c r="AK48" i="5"/>
  <c r="AH120" i="5"/>
  <c r="AI116" i="5"/>
  <c r="AO46" i="5"/>
  <c r="AH149" i="5"/>
  <c r="AQ120" i="5"/>
  <c r="AO126" i="5"/>
  <c r="AR118" i="5"/>
  <c r="AI78" i="5"/>
  <c r="AH33" i="5"/>
  <c r="AO51" i="5"/>
  <c r="AG136" i="5"/>
  <c r="AQ145" i="5"/>
  <c r="AP168" i="5"/>
  <c r="AK102" i="5"/>
  <c r="AI69" i="5"/>
  <c r="AR90" i="5"/>
  <c r="AG6" i="5"/>
  <c r="AO149" i="5"/>
  <c r="AK108" i="5"/>
  <c r="AJ32" i="5"/>
  <c r="AH136" i="5"/>
  <c r="AN64" i="5"/>
  <c r="AH7" i="5"/>
  <c r="AQ64" i="5"/>
  <c r="AH116" i="5"/>
  <c r="AR131" i="5"/>
  <c r="AL121" i="5"/>
  <c r="AL65" i="5"/>
  <c r="AP121" i="5"/>
  <c r="AQ33" i="5"/>
  <c r="AN141" i="5"/>
  <c r="AP49" i="5"/>
  <c r="AP119" i="5"/>
  <c r="AG59" i="5"/>
  <c r="AH32" i="5"/>
  <c r="AQ4" i="5"/>
  <c r="AP50" i="5"/>
  <c r="AL73" i="5"/>
  <c r="AI52" i="5"/>
  <c r="AH100" i="5"/>
  <c r="AN88" i="5"/>
  <c r="AJ75" i="5"/>
  <c r="AI98" i="5"/>
  <c r="AL71" i="5"/>
  <c r="AJ89" i="5"/>
  <c r="AI17" i="5"/>
  <c r="AP91" i="5"/>
  <c r="AJ4" i="5"/>
  <c r="AH38" i="5"/>
  <c r="AR6" i="5"/>
  <c r="AJ156" i="5"/>
  <c r="AH47" i="5"/>
  <c r="AH54" i="5"/>
  <c r="AQ21" i="5"/>
  <c r="AJ19" i="5"/>
  <c r="AP115" i="5"/>
  <c r="AJ51" i="5"/>
  <c r="AH125" i="5"/>
  <c r="AL47" i="5"/>
  <c r="AK8" i="5"/>
  <c r="AL3" i="5"/>
  <c r="AQ131" i="5"/>
  <c r="AR59" i="5"/>
  <c r="AR34" i="5"/>
  <c r="AN66" i="5"/>
  <c r="AP65" i="5"/>
  <c r="AP12" i="5"/>
  <c r="AL140" i="5"/>
  <c r="AH11" i="5"/>
  <c r="AG76" i="5"/>
  <c r="AR82" i="5"/>
  <c r="AK136" i="5"/>
  <c r="AP46" i="5"/>
  <c r="AJ173" i="5"/>
  <c r="AG65" i="5"/>
  <c r="AG158" i="5"/>
  <c r="AR8" i="5"/>
  <c r="AN109" i="5"/>
  <c r="AL60" i="5"/>
  <c r="AK139" i="5"/>
  <c r="AJ67" i="5"/>
  <c r="AO12" i="5"/>
  <c r="AP170" i="5"/>
  <c r="AQ167" i="5"/>
  <c r="AP123" i="5"/>
  <c r="AP16" i="5"/>
  <c r="AH167" i="5"/>
  <c r="AN80" i="5"/>
  <c r="AR134" i="5"/>
  <c r="AH145" i="5"/>
  <c r="AP48" i="5"/>
  <c r="AQ63" i="5"/>
  <c r="AH81" i="5"/>
  <c r="AG90" i="5"/>
  <c r="AG22" i="5"/>
  <c r="AP13" i="5"/>
  <c r="AJ54" i="5"/>
  <c r="AQ140" i="5"/>
  <c r="AL62" i="5"/>
  <c r="AK14" i="5"/>
  <c r="AH25" i="5"/>
  <c r="AN162" i="5"/>
  <c r="AN135" i="5"/>
  <c r="AL119" i="5"/>
  <c r="AG105" i="5"/>
  <c r="AG97" i="5"/>
  <c r="AG133" i="5"/>
  <c r="AH102" i="5"/>
  <c r="AN13" i="5"/>
  <c r="AN136" i="5"/>
  <c r="AN131" i="5"/>
  <c r="AG27" i="5"/>
  <c r="AJ11" i="5"/>
  <c r="AH85" i="5"/>
  <c r="AI61" i="5"/>
  <c r="AQ13" i="5"/>
  <c r="AQ8" i="5"/>
  <c r="AQ32" i="5"/>
  <c r="AR35" i="5"/>
  <c r="AL51" i="5"/>
  <c r="AQ12" i="5"/>
  <c r="AQ89" i="5"/>
  <c r="AJ140" i="5"/>
  <c r="AH79" i="5"/>
  <c r="AI26" i="5"/>
  <c r="AG58" i="5"/>
  <c r="AL48" i="5"/>
  <c r="AI9" i="5"/>
  <c r="AJ85" i="5"/>
  <c r="AQ153" i="5"/>
  <c r="AI96" i="5"/>
  <c r="AN77" i="5"/>
  <c r="AN22" i="5"/>
  <c r="AP57" i="5"/>
  <c r="AJ74" i="5"/>
  <c r="AQ108" i="5"/>
  <c r="AL10" i="5"/>
  <c r="AP39" i="5"/>
  <c r="AQ51" i="5"/>
  <c r="AP9" i="5"/>
  <c r="AG121" i="5"/>
  <c r="AJ8" i="5"/>
  <c r="AP19" i="5"/>
  <c r="AR53" i="5"/>
  <c r="AR26" i="5"/>
  <c r="AP88" i="5"/>
  <c r="AJ49" i="5"/>
  <c r="AH14" i="5"/>
  <c r="AL29" i="5"/>
  <c r="AK67" i="5"/>
  <c r="AK122" i="5"/>
  <c r="AQ11" i="5"/>
  <c r="AK72" i="5"/>
  <c r="AH31" i="5"/>
  <c r="AI55" i="5"/>
  <c r="AR29" i="5"/>
  <c r="AI11" i="5"/>
  <c r="AG31" i="5"/>
  <c r="AK47" i="5"/>
  <c r="AQ18" i="5"/>
  <c r="AI63" i="5"/>
  <c r="AG153" i="5"/>
  <c r="AI142" i="5"/>
  <c r="AP30" i="5"/>
  <c r="AH63" i="5"/>
  <c r="AQ34" i="5"/>
  <c r="AI135" i="5"/>
  <c r="AR11" i="5"/>
  <c r="AG143" i="5"/>
  <c r="AH115" i="5"/>
  <c r="AH91" i="5"/>
  <c r="AJ22" i="5"/>
  <c r="AG25" i="5"/>
  <c r="AN89" i="5"/>
  <c r="AH148" i="5"/>
  <c r="AK26" i="5"/>
  <c r="AL59" i="5"/>
  <c r="AQ25" i="5"/>
  <c r="AJ130" i="5"/>
  <c r="AR132" i="5"/>
  <c r="AG131" i="5"/>
  <c r="AI94" i="5"/>
  <c r="AH109" i="5"/>
  <c r="AP165" i="5"/>
  <c r="AH74" i="5"/>
  <c r="AQ113" i="5"/>
  <c r="AI84" i="5"/>
  <c r="AL95" i="5"/>
  <c r="AP111" i="5"/>
  <c r="AR94" i="5"/>
  <c r="AQ166" i="5"/>
  <c r="AR24" i="5"/>
  <c r="AJ84" i="5"/>
  <c r="AN21" i="5"/>
  <c r="AG30" i="5"/>
  <c r="AK33" i="5"/>
  <c r="AG110" i="5"/>
  <c r="AP106" i="5"/>
  <c r="AH4" i="5"/>
  <c r="AL33" i="5"/>
  <c r="AI49" i="5"/>
  <c r="AH82" i="5"/>
  <c r="AL89" i="5"/>
  <c r="AI92" i="5"/>
  <c r="AL90" i="5"/>
  <c r="AN119" i="5"/>
  <c r="AR114" i="5"/>
  <c r="AG125" i="5"/>
  <c r="AN4" i="5"/>
  <c r="AJ24" i="5"/>
  <c r="AP18" i="5"/>
  <c r="AG54" i="5"/>
  <c r="AN70" i="5"/>
  <c r="AR14" i="5"/>
  <c r="AN71" i="5"/>
  <c r="AQ22" i="5"/>
  <c r="AP22" i="5"/>
  <c r="AR60" i="5"/>
  <c r="AP59" i="5"/>
  <c r="AQ78" i="5"/>
  <c r="AL88" i="5"/>
  <c r="AJ56" i="5"/>
  <c r="AI36" i="5"/>
  <c r="AJ154" i="5"/>
  <c r="AP15" i="5"/>
  <c r="AI27" i="5"/>
  <c r="AQ38" i="5"/>
  <c r="AR143" i="5"/>
  <c r="AI48" i="5"/>
  <c r="AN81" i="5"/>
  <c r="AH28" i="5"/>
  <c r="AP37" i="5"/>
  <c r="AH12" i="5"/>
  <c r="AR121" i="5"/>
  <c r="AG60" i="5"/>
  <c r="AR5" i="5"/>
  <c r="AJ38" i="5"/>
  <c r="AQ46" i="5"/>
  <c r="AG49" i="5"/>
  <c r="AQ60" i="5"/>
  <c r="AQ66" i="5"/>
  <c r="AK101" i="5"/>
  <c r="AR115" i="5"/>
  <c r="AP55" i="5"/>
  <c r="AL30" i="5"/>
  <c r="AI18" i="5"/>
  <c r="AQ134" i="5"/>
  <c r="AQ75" i="5"/>
  <c r="AJ175" i="5"/>
  <c r="AL42" i="5"/>
  <c r="AG56" i="5"/>
  <c r="AH6" i="5"/>
  <c r="AJ52" i="5"/>
  <c r="AL11" i="5"/>
  <c r="AH156" i="5"/>
  <c r="AP75" i="5"/>
  <c r="AH138" i="5"/>
  <c r="AJ63" i="5"/>
  <c r="AI42" i="5"/>
  <c r="AP62" i="5"/>
  <c r="AR37" i="5"/>
  <c r="AH117" i="5"/>
  <c r="AG149" i="5"/>
  <c r="AJ153" i="5"/>
  <c r="AJ44" i="5"/>
  <c r="AN54" i="5"/>
  <c r="AG29" i="5"/>
  <c r="AH108" i="5"/>
  <c r="AR153" i="5"/>
  <c r="AN46" i="5"/>
  <c r="AH40" i="5"/>
  <c r="AI41" i="5"/>
  <c r="AN115" i="5"/>
  <c r="AP142" i="5"/>
  <c r="AN63" i="5"/>
  <c r="AN90" i="5"/>
  <c r="AR33" i="5"/>
  <c r="AK40" i="5"/>
  <c r="AI58" i="5"/>
  <c r="AL70" i="5"/>
  <c r="AK44" i="5"/>
  <c r="AQ70" i="5"/>
  <c r="AR46" i="5"/>
  <c r="AH59" i="5"/>
  <c r="AL122" i="5"/>
  <c r="AK99" i="5"/>
  <c r="AN34" i="5"/>
  <c r="AQ16" i="5"/>
  <c r="AQ7" i="5"/>
  <c r="AI44" i="5"/>
  <c r="AP84" i="5"/>
  <c r="AH113" i="5"/>
  <c r="AK143" i="5"/>
  <c r="AH83" i="5"/>
  <c r="AL139" i="5"/>
  <c r="AG53" i="5"/>
  <c r="AP78" i="5"/>
  <c r="AR123" i="5"/>
  <c r="AI76" i="5"/>
  <c r="AL58" i="5"/>
  <c r="AI149" i="5"/>
  <c r="AR47" i="5"/>
  <c r="AH105" i="5"/>
  <c r="AH50" i="5"/>
  <c r="AP83" i="5"/>
  <c r="AJ79" i="5"/>
  <c r="AJ47" i="5"/>
  <c r="AP152" i="5"/>
  <c r="AQ174" i="5"/>
  <c r="AO91" i="5"/>
  <c r="AM92" i="5"/>
  <c r="AM136" i="5"/>
  <c r="AN20" i="5"/>
  <c r="AN67" i="5"/>
  <c r="AK90" i="5"/>
  <c r="AI67" i="5"/>
  <c r="AI4" i="5"/>
  <c r="AH75" i="5"/>
  <c r="AL26" i="5"/>
  <c r="AH66" i="5"/>
  <c r="AL25" i="5"/>
  <c r="AQ69" i="5"/>
  <c r="AG12" i="5"/>
  <c r="AK154" i="5"/>
  <c r="AI34" i="5"/>
  <c r="AP66" i="5"/>
  <c r="AP110" i="5"/>
  <c r="AG101" i="5"/>
  <c r="AK169" i="5"/>
  <c r="AH49" i="5"/>
  <c r="AK62" i="5"/>
  <c r="AI30" i="5"/>
  <c r="AQ71" i="5"/>
  <c r="AK106" i="5"/>
  <c r="AQ101" i="5"/>
  <c r="AJ110" i="5"/>
  <c r="AJ28" i="5"/>
  <c r="AJ132" i="5"/>
  <c r="AL153" i="5"/>
  <c r="AL111" i="5"/>
  <c r="AP23" i="5"/>
  <c r="AH18" i="5"/>
  <c r="AQ28" i="5"/>
  <c r="AJ108" i="5"/>
  <c r="AN11" i="5"/>
  <c r="AK30" i="5"/>
  <c r="AL40" i="5"/>
  <c r="AN36" i="5"/>
  <c r="AP116" i="5"/>
  <c r="AL147" i="5"/>
  <c r="AQ27" i="5"/>
  <c r="AL64" i="5"/>
  <c r="AN50" i="5"/>
  <c r="AK159" i="5"/>
  <c r="AJ42" i="5"/>
  <c r="AI124" i="5"/>
  <c r="AL156" i="5"/>
  <c r="AH13" i="5"/>
  <c r="AG19" i="5"/>
  <c r="AL19" i="5"/>
  <c r="AR111" i="5"/>
  <c r="AK111" i="5"/>
  <c r="AH80" i="5"/>
  <c r="AN10" i="5"/>
  <c r="AG134" i="5"/>
  <c r="AG120" i="5"/>
  <c r="AJ162" i="5"/>
  <c r="AK167" i="5"/>
  <c r="AJ77" i="5"/>
  <c r="AN79" i="5"/>
  <c r="AJ94" i="5"/>
  <c r="AQ109" i="5"/>
  <c r="AG70" i="5"/>
  <c r="AQ162" i="5"/>
  <c r="AO33" i="5"/>
  <c r="AM99" i="5"/>
  <c r="AP79" i="5"/>
  <c r="AL157" i="5"/>
  <c r="AL44" i="5"/>
  <c r="AK60" i="5"/>
  <c r="AK137" i="5"/>
  <c r="AH161" i="5"/>
  <c r="AL158" i="5"/>
  <c r="AP32" i="5"/>
  <c r="AH134" i="5"/>
  <c r="AL17" i="5"/>
  <c r="AL96" i="5"/>
  <c r="AL154" i="5"/>
  <c r="AR163" i="5"/>
  <c r="AN33" i="5"/>
  <c r="AK73" i="5"/>
  <c r="AG7" i="5"/>
  <c r="AN52" i="5"/>
  <c r="AQ52" i="5"/>
  <c r="AJ151" i="5"/>
  <c r="AR84" i="5"/>
  <c r="AI79" i="5"/>
  <c r="AQ132" i="5"/>
  <c r="AQ81" i="5"/>
  <c r="AP96" i="5"/>
  <c r="AL63" i="5"/>
  <c r="AH35" i="5"/>
  <c r="AP94" i="5"/>
  <c r="AL41" i="5"/>
  <c r="AG20" i="5"/>
  <c r="AJ135" i="5"/>
  <c r="AK52" i="5"/>
  <c r="AK88" i="5"/>
  <c r="AQ102" i="5"/>
  <c r="AJ107" i="5"/>
  <c r="AK18" i="5"/>
  <c r="AL83" i="5"/>
  <c r="AH24" i="5"/>
  <c r="AI66" i="5"/>
  <c r="AN78" i="5"/>
  <c r="AN175" i="5"/>
  <c r="AK133" i="5"/>
  <c r="AG13" i="5"/>
  <c r="AJ88" i="5"/>
  <c r="AI156" i="5"/>
  <c r="AH106" i="5"/>
  <c r="AJ31" i="5"/>
  <c r="AQ82" i="5"/>
  <c r="AN5" i="5"/>
  <c r="AL9" i="5"/>
  <c r="AG4" i="5"/>
  <c r="AJ86" i="5"/>
  <c r="AJ40" i="5"/>
  <c r="AR122" i="5"/>
  <c r="AJ83" i="5"/>
  <c r="AI113" i="5"/>
  <c r="AK96" i="5"/>
  <c r="AG148" i="5"/>
  <c r="AN161" i="5"/>
  <c r="AK82" i="5"/>
  <c r="AN133" i="5"/>
  <c r="AI107" i="5"/>
  <c r="AI162" i="5"/>
  <c r="AH163" i="5"/>
  <c r="AO160" i="5"/>
  <c r="AO94" i="5"/>
  <c r="AM12" i="5"/>
  <c r="AK85" i="5"/>
  <c r="AN125" i="5"/>
  <c r="AG108" i="5"/>
  <c r="AR162" i="5"/>
  <c r="AI157" i="5"/>
  <c r="AL132" i="5"/>
  <c r="AQ5" i="5"/>
  <c r="AJ106" i="5"/>
  <c r="AN85" i="5"/>
  <c r="AQ123" i="5"/>
  <c r="AH111" i="5"/>
  <c r="AI170" i="5"/>
  <c r="AH78" i="5"/>
  <c r="AR173" i="5"/>
  <c r="AJ21" i="5"/>
  <c r="AK157" i="5"/>
  <c r="AN117" i="5"/>
  <c r="AR81" i="5"/>
  <c r="AN124" i="5"/>
  <c r="AP120" i="5"/>
  <c r="AL151" i="5"/>
  <c r="AI146" i="5"/>
  <c r="AO55" i="5"/>
  <c r="AL86" i="5"/>
  <c r="AN120" i="5"/>
  <c r="AR99" i="5"/>
  <c r="AJ102" i="5"/>
  <c r="AH84" i="5"/>
  <c r="AL110" i="5"/>
  <c r="AP114" i="5"/>
  <c r="AR3" i="5"/>
  <c r="AL18" i="5"/>
  <c r="AI95" i="5"/>
  <c r="AQ73" i="5"/>
  <c r="AQ114" i="5"/>
  <c r="AJ104" i="5"/>
  <c r="AJ165" i="5"/>
  <c r="AQ40" i="5"/>
  <c r="AL162" i="5"/>
  <c r="AO173" i="5"/>
  <c r="AM146" i="5"/>
  <c r="AR31" i="5"/>
  <c r="AG62" i="5"/>
  <c r="AH41" i="5"/>
  <c r="AR30" i="5"/>
  <c r="AK38" i="5"/>
  <c r="AH39" i="5"/>
  <c r="AR66" i="5"/>
  <c r="AH10" i="5"/>
  <c r="AJ33" i="5"/>
  <c r="AK10" i="5"/>
  <c r="AG10" i="5"/>
  <c r="AL4" i="5"/>
  <c r="AR80" i="5"/>
  <c r="AR42" i="5"/>
  <c r="AI23" i="5"/>
  <c r="AR105" i="5"/>
  <c r="AJ62" i="5"/>
  <c r="AQ116" i="5"/>
  <c r="AG103" i="5"/>
  <c r="AP159" i="5"/>
  <c r="AG79" i="5"/>
  <c r="AR9" i="5"/>
  <c r="AL8" i="5"/>
  <c r="AG40" i="5"/>
  <c r="AK49" i="5"/>
  <c r="AL117" i="5"/>
  <c r="AQ59" i="5"/>
  <c r="AJ9" i="5"/>
  <c r="AP33" i="5"/>
  <c r="AN62" i="5"/>
  <c r="AP52" i="5"/>
  <c r="AH61" i="5"/>
  <c r="AG16" i="5"/>
  <c r="AJ81" i="5"/>
  <c r="AH58" i="5"/>
  <c r="AQ65" i="5"/>
  <c r="AL28" i="5"/>
  <c r="AK66" i="5"/>
  <c r="AQ142" i="5"/>
  <c r="AI163" i="5"/>
  <c r="AI158" i="5"/>
  <c r="AQ100" i="5"/>
  <c r="AI136" i="5"/>
  <c r="AP140" i="5"/>
  <c r="AK156" i="5"/>
  <c r="AO174" i="5"/>
  <c r="AM81" i="5"/>
  <c r="AL120" i="5"/>
  <c r="AK135" i="5"/>
  <c r="AK97" i="5"/>
  <c r="AI25" i="5"/>
  <c r="AQ163" i="5"/>
  <c r="AI39" i="5"/>
  <c r="AH99" i="5"/>
  <c r="AQ85" i="5"/>
  <c r="AI97" i="5"/>
  <c r="AG11" i="5"/>
  <c r="AK42" i="5"/>
  <c r="AG24" i="5"/>
  <c r="AH69" i="5"/>
  <c r="AQ26" i="5"/>
  <c r="AP112" i="5"/>
  <c r="AG96" i="5"/>
  <c r="AL61" i="5"/>
  <c r="AN106" i="5"/>
  <c r="AQ173" i="5"/>
  <c r="AQ30" i="5"/>
  <c r="AG155" i="5"/>
  <c r="AR15" i="5"/>
  <c r="AP175" i="5"/>
  <c r="AR69" i="5"/>
  <c r="AQ98" i="5"/>
  <c r="AR17" i="5"/>
  <c r="AI77" i="5"/>
  <c r="AJ16" i="5"/>
  <c r="AG82" i="5"/>
  <c r="AK41" i="5"/>
  <c r="AP81" i="5"/>
  <c r="AK56" i="5"/>
  <c r="AQ97" i="5"/>
  <c r="AN58" i="5"/>
  <c r="AI12" i="5"/>
  <c r="AK141" i="5"/>
  <c r="AI16" i="5"/>
  <c r="AH92" i="5"/>
  <c r="AH118" i="5"/>
  <c r="AI118" i="5"/>
  <c r="AP29" i="5"/>
  <c r="AR78" i="5"/>
  <c r="AK147" i="5"/>
  <c r="AJ15" i="5"/>
  <c r="AQ62" i="5"/>
  <c r="AL97" i="5"/>
  <c r="AJ121" i="5"/>
  <c r="AR89" i="5"/>
  <c r="AO24" i="5"/>
  <c r="AL13" i="5"/>
  <c r="AG66" i="5"/>
  <c r="AN98" i="5"/>
  <c r="AL123" i="5"/>
  <c r="AJ136" i="5"/>
  <c r="AH26" i="5"/>
  <c r="AI108" i="5"/>
  <c r="AI139" i="5"/>
  <c r="AP144" i="5"/>
  <c r="AH73" i="5"/>
  <c r="AK134" i="5"/>
  <c r="AK27" i="5"/>
  <c r="AI140" i="5"/>
  <c r="AQ111" i="5"/>
  <c r="AN16" i="5"/>
  <c r="AH144" i="5"/>
  <c r="AN158" i="5"/>
  <c r="AO18" i="5"/>
  <c r="AI127" i="5"/>
  <c r="AG139" i="5"/>
  <c r="AI71" i="5"/>
  <c r="AN55" i="5"/>
  <c r="AR166" i="5"/>
  <c r="AO171" i="5"/>
  <c r="AI37" i="5"/>
  <c r="AL141" i="5"/>
  <c r="AI90" i="5"/>
  <c r="AP58" i="5"/>
  <c r="AH146" i="5"/>
  <c r="AH154" i="5"/>
  <c r="AO68" i="5"/>
  <c r="AM71" i="5"/>
  <c r="AJ58" i="5"/>
  <c r="AI80" i="5"/>
  <c r="AG74" i="5"/>
  <c r="AK149" i="5"/>
  <c r="AJ30" i="5"/>
  <c r="AP27" i="5"/>
  <c r="AG169" i="5"/>
  <c r="AH56" i="5"/>
  <c r="AP124" i="5"/>
  <c r="AG81" i="5"/>
  <c r="AJ6" i="5"/>
  <c r="AO14" i="5"/>
  <c r="AM153" i="5"/>
  <c r="AI20" i="5"/>
  <c r="AL50" i="5"/>
  <c r="AK127" i="5"/>
  <c r="AP108" i="5"/>
  <c r="AN43" i="5"/>
  <c r="AH70" i="5"/>
  <c r="AR43" i="5"/>
  <c r="AI10" i="5"/>
  <c r="AL166" i="5"/>
  <c r="AI145" i="5"/>
  <c r="AG173" i="5"/>
  <c r="AL148" i="5"/>
  <c r="AM148" i="5"/>
  <c r="AM16" i="5"/>
  <c r="AQ57" i="5"/>
  <c r="AL124" i="5"/>
  <c r="AP173" i="5"/>
  <c r="AJ149" i="5"/>
  <c r="AO123" i="5"/>
  <c r="AI29" i="5"/>
  <c r="AR68" i="5"/>
  <c r="AG109" i="5"/>
  <c r="AQ106" i="5"/>
  <c r="AP174" i="5"/>
  <c r="AL126" i="5"/>
  <c r="AK31" i="5"/>
  <c r="AG107" i="5"/>
  <c r="AI89" i="5"/>
  <c r="AI141" i="5"/>
  <c r="AN76" i="5"/>
  <c r="AG44" i="5"/>
  <c r="AG45" i="5"/>
  <c r="AN38" i="5"/>
  <c r="AL144" i="5"/>
  <c r="AL16" i="5"/>
  <c r="AP24" i="5"/>
  <c r="AH43" i="5"/>
  <c r="AN17" i="5"/>
  <c r="AK46" i="5"/>
  <c r="AP54" i="5"/>
  <c r="AK7" i="5"/>
  <c r="AR28" i="5"/>
  <c r="AG26" i="5"/>
  <c r="AR7" i="5"/>
  <c r="AN19" i="5"/>
  <c r="AK13" i="5"/>
  <c r="AH175" i="5"/>
  <c r="AG52" i="5"/>
  <c r="AR61" i="5"/>
  <c r="AJ27" i="5"/>
  <c r="AL46" i="5"/>
  <c r="AJ114" i="5"/>
  <c r="AR116" i="5"/>
  <c r="AG115" i="5"/>
  <c r="AP36" i="5"/>
  <c r="AQ45" i="5"/>
  <c r="AH60" i="5"/>
  <c r="AN7" i="5"/>
  <c r="AN99" i="5"/>
  <c r="AH19" i="5"/>
  <c r="AI38" i="5"/>
  <c r="AL67" i="5"/>
  <c r="AI14" i="5"/>
  <c r="AG32" i="5"/>
  <c r="AJ61" i="5"/>
  <c r="AH22" i="5"/>
  <c r="AR19" i="5"/>
  <c r="AN47" i="5"/>
  <c r="AK78" i="5"/>
  <c r="AQ87" i="5"/>
  <c r="AJ146" i="5"/>
  <c r="AR148" i="5"/>
  <c r="AG147" i="5"/>
  <c r="AP125" i="5"/>
  <c r="AQ39" i="5"/>
  <c r="AH16" i="5"/>
  <c r="AP10" i="5"/>
  <c r="AH36" i="5"/>
  <c r="AJ72" i="5"/>
  <c r="AK76" i="5"/>
  <c r="AJ20" i="5"/>
  <c r="AK17" i="5"/>
  <c r="AR45" i="5"/>
  <c r="AQ14" i="5"/>
  <c r="AG9" i="5"/>
  <c r="AL38" i="5"/>
  <c r="AG175" i="5"/>
  <c r="AL20" i="5"/>
  <c r="AP14" i="5"/>
  <c r="AJ7" i="5"/>
  <c r="AP137" i="5"/>
  <c r="AN18" i="5"/>
  <c r="AP26" i="5"/>
  <c r="AL175" i="5"/>
  <c r="AJ45" i="5"/>
  <c r="AG18" i="5"/>
  <c r="AJ103" i="5"/>
  <c r="AR96" i="5"/>
  <c r="AI22" i="5"/>
  <c r="AH17" i="5"/>
  <c r="AG41" i="5"/>
  <c r="AK75" i="5"/>
  <c r="AL80" i="5"/>
  <c r="AN83" i="5"/>
  <c r="AN82" i="5"/>
  <c r="AQ107" i="5"/>
  <c r="AH101" i="5"/>
  <c r="AI115" i="5"/>
  <c r="AL5" i="5"/>
  <c r="AR13" i="5"/>
  <c r="AN6" i="5"/>
  <c r="AP43" i="5"/>
  <c r="AI60" i="5"/>
  <c r="AJ122" i="5"/>
  <c r="AI15" i="5"/>
  <c r="AK9" i="5"/>
  <c r="AJ35" i="5"/>
  <c r="AP71" i="5"/>
  <c r="AN75" i="5"/>
  <c r="AN30" i="5"/>
  <c r="AN37" i="5"/>
  <c r="AJ53" i="5"/>
  <c r="AR85" i="5"/>
  <c r="AQ92" i="5"/>
  <c r="AK12" i="5"/>
  <c r="AL31" i="5"/>
  <c r="AP60" i="5"/>
  <c r="AL7" i="5"/>
  <c r="AR25" i="5"/>
  <c r="AH55" i="5"/>
  <c r="AK15" i="5"/>
  <c r="AQ10" i="5"/>
  <c r="AJ39" i="5"/>
  <c r="AR72" i="5"/>
  <c r="AI82" i="5"/>
  <c r="AH140" i="5"/>
  <c r="AG142" i="5"/>
  <c r="AH5" i="5"/>
  <c r="AG17" i="5"/>
  <c r="AR10" i="5"/>
  <c r="AP47" i="5"/>
  <c r="AG64" i="5"/>
  <c r="AQ124" i="5"/>
  <c r="AN25" i="5"/>
  <c r="AQ24" i="5"/>
  <c r="AH45" i="5"/>
  <c r="AK19" i="5"/>
  <c r="AN14" i="5"/>
  <c r="AK39" i="5"/>
  <c r="AJ3" i="5"/>
  <c r="AI46" i="5"/>
  <c r="AL21" i="5"/>
  <c r="AR51" i="5"/>
  <c r="AJ59" i="5"/>
  <c r="AR57" i="5"/>
  <c r="AK58" i="5"/>
  <c r="AR79" i="5"/>
  <c r="AQ3" i="5"/>
  <c r="AI21" i="5"/>
  <c r="AL43" i="5"/>
  <c r="AH53" i="5"/>
  <c r="AJ66" i="5"/>
  <c r="AN27" i="5"/>
  <c r="AP105" i="5"/>
  <c r="AJ25" i="5"/>
  <c r="AQ43" i="5"/>
  <c r="AR18" i="5"/>
  <c r="AQ19" i="5"/>
  <c r="AR38" i="5"/>
  <c r="AG68" i="5"/>
  <c r="AG8" i="5"/>
  <c r="AN26" i="5"/>
  <c r="AQ55" i="5"/>
  <c r="AR36" i="5"/>
  <c r="AJ37" i="5"/>
  <c r="AK36" i="5"/>
  <c r="AI7" i="5"/>
  <c r="AK11" i="5"/>
  <c r="AG55" i="5"/>
  <c r="AI5" i="5"/>
  <c r="AH8" i="5"/>
  <c r="AN65" i="5"/>
  <c r="AH37" i="5"/>
  <c r="AJ55" i="5"/>
  <c r="AI119" i="5"/>
  <c r="AP17" i="5"/>
  <c r="AJ13" i="5"/>
  <c r="AQ37" i="5"/>
  <c r="AJ10" i="5"/>
  <c r="AH51" i="5"/>
  <c r="AH30" i="5"/>
  <c r="AK20" i="5"/>
  <c r="AL39" i="5"/>
  <c r="AP6" i="5"/>
  <c r="AR39" i="5"/>
  <c r="AG38" i="5"/>
  <c r="AL36" i="5"/>
  <c r="AH34" i="5"/>
  <c r="AI6" i="5"/>
  <c r="AL24" i="5"/>
  <c r="AI53" i="5"/>
  <c r="AP82" i="5"/>
  <c r="AK25" i="5"/>
  <c r="AI151" i="5"/>
  <c r="AR50" i="5"/>
  <c r="AK59" i="5"/>
  <c r="AN23" i="5"/>
  <c r="AP44" i="5"/>
  <c r="AL54" i="5"/>
  <c r="AH68" i="5"/>
  <c r="AK32" i="5"/>
  <c r="AR40" i="5"/>
  <c r="AL56" i="5"/>
  <c r="AP87" i="5"/>
  <c r="AR95" i="5"/>
  <c r="AH97" i="5"/>
  <c r="AK95" i="5"/>
  <c r="AK126" i="5"/>
  <c r="AP8" i="5"/>
  <c r="AQ6" i="5"/>
  <c r="AI28" i="5"/>
  <c r="AR23" i="5"/>
  <c r="AQ61" i="5"/>
  <c r="AS112" i="5" l="1"/>
  <c r="AS171" i="5"/>
  <c r="AS87" i="5"/>
  <c r="AT87" i="5" s="1"/>
  <c r="AS150" i="5"/>
  <c r="J150" i="13" s="1"/>
  <c r="L150" i="13" s="1"/>
  <c r="AS164" i="5"/>
  <c r="J14" i="4" s="1"/>
  <c r="L14" i="4" s="1"/>
  <c r="AS128" i="5"/>
  <c r="AS93" i="5"/>
  <c r="AT93" i="5" s="1"/>
  <c r="AS138" i="5"/>
  <c r="J138" i="13" s="1"/>
  <c r="L138" i="13" s="1"/>
  <c r="AS168" i="5"/>
  <c r="J168" i="13" s="1"/>
  <c r="L168" i="13" s="1"/>
  <c r="AS172" i="5"/>
  <c r="J49" i="4" s="1"/>
  <c r="L49" i="4" s="1"/>
  <c r="S49" i="4" s="1"/>
  <c r="AS160" i="5"/>
  <c r="J160" i="13" s="1"/>
  <c r="L160" i="13" s="1"/>
  <c r="AS129" i="5"/>
  <c r="AT129" i="5" s="1"/>
  <c r="AS104" i="5"/>
  <c r="J104" i="13" s="1"/>
  <c r="L104" i="13" s="1"/>
  <c r="AS152" i="5"/>
  <c r="AT152" i="5" s="1"/>
  <c r="AS130" i="5"/>
  <c r="J130" i="13" s="1"/>
  <c r="L130" i="13" s="1"/>
  <c r="AS100" i="5"/>
  <c r="AT100" i="5" s="1"/>
  <c r="AS155" i="5"/>
  <c r="J155" i="13" s="1"/>
  <c r="L155" i="13" s="1"/>
  <c r="AS116" i="5"/>
  <c r="J116" i="13" s="1"/>
  <c r="L116" i="13" s="1"/>
  <c r="U116" i="13" s="1"/>
  <c r="AS167" i="5"/>
  <c r="AT167" i="5" s="1"/>
  <c r="AS170" i="5"/>
  <c r="AT170" i="5" s="1"/>
  <c r="AS131" i="5"/>
  <c r="J131" i="13" s="1"/>
  <c r="L131" i="13" s="1"/>
  <c r="AS139" i="5"/>
  <c r="J127" i="4" s="1"/>
  <c r="L127" i="4" s="1"/>
  <c r="AS141" i="5"/>
  <c r="AT141" i="5" s="1"/>
  <c r="AS161" i="5"/>
  <c r="J161" i="13" s="1"/>
  <c r="L161" i="13" s="1"/>
  <c r="AS46" i="5"/>
  <c r="J46" i="13" s="1"/>
  <c r="L46" i="13" s="1"/>
  <c r="AS145" i="5"/>
  <c r="J93" i="4" s="1"/>
  <c r="L93" i="4" s="1"/>
  <c r="AS102" i="5"/>
  <c r="AT102" i="5" s="1"/>
  <c r="AS136" i="5"/>
  <c r="J136" i="13" s="1"/>
  <c r="L136" i="13" s="1"/>
  <c r="AS49" i="5"/>
  <c r="J49" i="13" s="1"/>
  <c r="L49" i="13" s="1"/>
  <c r="AS132" i="5"/>
  <c r="AT132" i="5" s="1"/>
  <c r="AS133" i="5"/>
  <c r="J133" i="13" s="1"/>
  <c r="L133" i="13" s="1"/>
  <c r="AS109" i="5"/>
  <c r="J109" i="13" s="1"/>
  <c r="L109" i="13" s="1"/>
  <c r="AS59" i="5"/>
  <c r="J59" i="13" s="1"/>
  <c r="L59" i="13" s="1"/>
  <c r="AS119" i="5"/>
  <c r="J119" i="13" s="1"/>
  <c r="L119" i="13" s="1"/>
  <c r="AS103" i="5"/>
  <c r="AT103" i="5" s="1"/>
  <c r="AS147" i="5"/>
  <c r="J147" i="13" s="1"/>
  <c r="L147" i="13" s="1"/>
  <c r="AS174" i="5"/>
  <c r="J174" i="13" s="1"/>
  <c r="L174" i="13" s="1"/>
  <c r="AS57" i="5"/>
  <c r="AT57" i="5" s="1"/>
  <c r="AS85" i="5"/>
  <c r="J85" i="13" s="1"/>
  <c r="L85" i="13" s="1"/>
  <c r="AS127" i="5"/>
  <c r="J127" i="13" s="1"/>
  <c r="L127" i="13" s="1"/>
  <c r="AS120" i="5"/>
  <c r="J3" i="4" s="1"/>
  <c r="L3" i="4" s="1"/>
  <c r="AS159" i="5"/>
  <c r="J159" i="13" s="1"/>
  <c r="L159" i="13" s="1"/>
  <c r="S159" i="13" s="1"/>
  <c r="T159" i="13" s="1"/>
  <c r="AS154" i="5"/>
  <c r="J154" i="13" s="1"/>
  <c r="L154" i="13" s="1"/>
  <c r="AS98" i="5"/>
  <c r="J43" i="4" s="1"/>
  <c r="L43" i="4" s="1"/>
  <c r="AS69" i="5"/>
  <c r="J148" i="4" s="1"/>
  <c r="L148" i="4" s="1"/>
  <c r="AS65" i="5"/>
  <c r="J170" i="4" s="1"/>
  <c r="L170" i="4" s="1"/>
  <c r="AS157" i="5"/>
  <c r="AT157" i="5" s="1"/>
  <c r="AS86" i="5"/>
  <c r="J160" i="4" s="1"/>
  <c r="L160" i="4" s="1"/>
  <c r="AS91" i="5"/>
  <c r="J91" i="13" s="1"/>
  <c r="L91" i="13" s="1"/>
  <c r="AS118" i="5"/>
  <c r="J118" i="13" s="1"/>
  <c r="L118" i="13" s="1"/>
  <c r="R118" i="13" s="1"/>
  <c r="AS73" i="5"/>
  <c r="J70" i="4" s="1"/>
  <c r="L70" i="4" s="1"/>
  <c r="AS56" i="5"/>
  <c r="J42" i="4" s="1"/>
  <c r="L42" i="4" s="1"/>
  <c r="AS163" i="5"/>
  <c r="J13" i="4" s="1"/>
  <c r="L13" i="4" s="1"/>
  <c r="AS16" i="5"/>
  <c r="J116" i="4" s="1"/>
  <c r="L116" i="4" s="1"/>
  <c r="AS21" i="5"/>
  <c r="J21" i="13" s="1"/>
  <c r="L21" i="13" s="1"/>
  <c r="AS44" i="5"/>
  <c r="J44" i="13" s="1"/>
  <c r="L44" i="13" s="1"/>
  <c r="AM177" i="5"/>
  <c r="AM179" i="5" s="1"/>
  <c r="AS144" i="5"/>
  <c r="AT144" i="5" s="1"/>
  <c r="AS113" i="5"/>
  <c r="AT113" i="5" s="1"/>
  <c r="AS151" i="5"/>
  <c r="J24" i="4" s="1"/>
  <c r="L24" i="4" s="1"/>
  <c r="AS173" i="5"/>
  <c r="AT173" i="5" s="1"/>
  <c r="AS33" i="5"/>
  <c r="AT33" i="5" s="1"/>
  <c r="AS29" i="5"/>
  <c r="J29" i="13" s="1"/>
  <c r="L29" i="13" s="1"/>
  <c r="AS89" i="5"/>
  <c r="AT89" i="5" s="1"/>
  <c r="AS54" i="5"/>
  <c r="J130" i="4" s="1"/>
  <c r="L130" i="4" s="1"/>
  <c r="AS50" i="5"/>
  <c r="AT50" i="5" s="1"/>
  <c r="AS79" i="5"/>
  <c r="J79" i="13" s="1"/>
  <c r="L79" i="13" s="1"/>
  <c r="AS142" i="5"/>
  <c r="J142" i="13" s="1"/>
  <c r="L142" i="13" s="1"/>
  <c r="AS12" i="5"/>
  <c r="AT12" i="5" s="1"/>
  <c r="AS35" i="5"/>
  <c r="J35" i="13" s="1"/>
  <c r="L35" i="13" s="1"/>
  <c r="AS5" i="5"/>
  <c r="J162" i="4" s="1"/>
  <c r="L162" i="4" s="1"/>
  <c r="AS41" i="5"/>
  <c r="AT41" i="5" s="1"/>
  <c r="AS9" i="5"/>
  <c r="AT9" i="5" s="1"/>
  <c r="AS78" i="5"/>
  <c r="J78" i="13" s="1"/>
  <c r="L78" i="13" s="1"/>
  <c r="AS166" i="5"/>
  <c r="AT166" i="5" s="1"/>
  <c r="AS81" i="5"/>
  <c r="J66" i="4" s="1"/>
  <c r="L66" i="4" s="1"/>
  <c r="AS77" i="5"/>
  <c r="AT77" i="5" s="1"/>
  <c r="AS42" i="5"/>
  <c r="J34" i="4" s="1"/>
  <c r="L34" i="4" s="1"/>
  <c r="AS162" i="5"/>
  <c r="AT162" i="5" s="1"/>
  <c r="AS108" i="5"/>
  <c r="J131" i="4" s="1"/>
  <c r="L131" i="4" s="1"/>
  <c r="AS70" i="5"/>
  <c r="J70" i="13" s="1"/>
  <c r="L70" i="13" s="1"/>
  <c r="AS156" i="5"/>
  <c r="J156" i="13" s="1"/>
  <c r="L156" i="13" s="1"/>
  <c r="AS169" i="5"/>
  <c r="J37" i="4" s="1"/>
  <c r="L37" i="4" s="1"/>
  <c r="AS48" i="5"/>
  <c r="J48" i="13" s="1"/>
  <c r="L48" i="13" s="1"/>
  <c r="AQ177" i="5"/>
  <c r="AQ179" i="5" s="1"/>
  <c r="AS27" i="5"/>
  <c r="J27" i="13" s="1"/>
  <c r="L27" i="13" s="1"/>
  <c r="AS62" i="5"/>
  <c r="AT62" i="5" s="1"/>
  <c r="AS94" i="5"/>
  <c r="J143" i="4" s="1"/>
  <c r="L143" i="4" s="1"/>
  <c r="AS23" i="5"/>
  <c r="J154" i="4" s="1"/>
  <c r="L154" i="4" s="1"/>
  <c r="AS153" i="5"/>
  <c r="J153" i="13" s="1"/>
  <c r="L153" i="13" s="1"/>
  <c r="AS52" i="5"/>
  <c r="J151" i="4" s="1"/>
  <c r="L151" i="4" s="1"/>
  <c r="AS90" i="5"/>
  <c r="AT90" i="5" s="1"/>
  <c r="AS110" i="5"/>
  <c r="J18" i="4" s="1"/>
  <c r="L18" i="4" s="1"/>
  <c r="AS84" i="5"/>
  <c r="AT84" i="5" s="1"/>
  <c r="AS74" i="5"/>
  <c r="J74" i="13" s="1"/>
  <c r="L74" i="13" s="1"/>
  <c r="AS143" i="5"/>
  <c r="AT143" i="5" s="1"/>
  <c r="AS121" i="5"/>
  <c r="J121" i="13" s="1"/>
  <c r="L121" i="13" s="1"/>
  <c r="AO177" i="5"/>
  <c r="AO179" i="5" s="1"/>
  <c r="AS117" i="5"/>
  <c r="J10" i="4" s="1"/>
  <c r="L10" i="4" s="1"/>
  <c r="AS111" i="5"/>
  <c r="J111" i="13" s="1"/>
  <c r="L111" i="13" s="1"/>
  <c r="AS106" i="5"/>
  <c r="J106" i="13" s="1"/>
  <c r="L106" i="13" s="1"/>
  <c r="AS134" i="5"/>
  <c r="J61" i="4" s="1"/>
  <c r="L61" i="4" s="1"/>
  <c r="AS4" i="5"/>
  <c r="AT4" i="5" s="1"/>
  <c r="AS149" i="5"/>
  <c r="AT149" i="5" s="1"/>
  <c r="AS63" i="5"/>
  <c r="J155" i="4" s="1"/>
  <c r="L155" i="4" s="1"/>
  <c r="AS40" i="5"/>
  <c r="AT40" i="5" s="1"/>
  <c r="AS105" i="5"/>
  <c r="AT105" i="5" s="1"/>
  <c r="AS58" i="5"/>
  <c r="AT58" i="5" s="1"/>
  <c r="AS140" i="5"/>
  <c r="J104" i="4" s="1"/>
  <c r="L104" i="4" s="1"/>
  <c r="AS92" i="5"/>
  <c r="J92" i="13" s="1"/>
  <c r="L92" i="13" s="1"/>
  <c r="AS76" i="5"/>
  <c r="AT76" i="5" s="1"/>
  <c r="AS47" i="5"/>
  <c r="AT47" i="5" s="1"/>
  <c r="AS114" i="5"/>
  <c r="J114" i="13" s="1"/>
  <c r="L114" i="13" s="1"/>
  <c r="AS10" i="5"/>
  <c r="AT10" i="5" s="1"/>
  <c r="AS135" i="5"/>
  <c r="AT135" i="5" s="1"/>
  <c r="AS158" i="5"/>
  <c r="J158" i="13" s="1"/>
  <c r="L158" i="13" s="1"/>
  <c r="AS123" i="5"/>
  <c r="J60" i="4" s="1"/>
  <c r="L60" i="4" s="1"/>
  <c r="AS83" i="5"/>
  <c r="J83" i="13" s="1"/>
  <c r="L83" i="13" s="1"/>
  <c r="AS88" i="5"/>
  <c r="J35" i="4" s="1"/>
  <c r="L35" i="4" s="1"/>
  <c r="AS165" i="5"/>
  <c r="J15" i="4" s="1"/>
  <c r="L15" i="4" s="1"/>
  <c r="AS30" i="5"/>
  <c r="J30" i="13" s="1"/>
  <c r="L30" i="13" s="1"/>
  <c r="AS124" i="5"/>
  <c r="J123" i="4" s="1"/>
  <c r="L123" i="4" s="1"/>
  <c r="AS101" i="5"/>
  <c r="J8" i="4" s="1"/>
  <c r="L8" i="4" s="1"/>
  <c r="AS80" i="5"/>
  <c r="J80" i="13" s="1"/>
  <c r="L80" i="13" s="1"/>
  <c r="AS137" i="5"/>
  <c r="J72" i="4" s="1"/>
  <c r="L72" i="4" s="1"/>
  <c r="AS146" i="5"/>
  <c r="AT146" i="5" s="1"/>
  <c r="AS99" i="5"/>
  <c r="AT99" i="5" s="1"/>
  <c r="AS97" i="5"/>
  <c r="AT97" i="5" s="1"/>
  <c r="AS148" i="5"/>
  <c r="J148" i="13" s="1"/>
  <c r="L148" i="13" s="1"/>
  <c r="AS126" i="5"/>
  <c r="J126" i="13" s="1"/>
  <c r="L126" i="13" s="1"/>
  <c r="AS34" i="5"/>
  <c r="J100" i="4" s="1"/>
  <c r="L100" i="4" s="1"/>
  <c r="AS11" i="5"/>
  <c r="J11" i="13" s="1"/>
  <c r="L11" i="13" s="1"/>
  <c r="N11" i="13" s="1"/>
  <c r="AS66" i="5"/>
  <c r="J66" i="13" s="1"/>
  <c r="L66" i="13" s="1"/>
  <c r="AS64" i="5"/>
  <c r="J109" i="4" s="1"/>
  <c r="L109" i="4" s="1"/>
  <c r="AS31" i="5"/>
  <c r="J166" i="4" s="1"/>
  <c r="L166" i="4" s="1"/>
  <c r="AS71" i="5"/>
  <c r="J71" i="13" s="1"/>
  <c r="L71" i="13" s="1"/>
  <c r="AS122" i="5"/>
  <c r="J122" i="13" s="1"/>
  <c r="L122" i="13" s="1"/>
  <c r="AS107" i="5"/>
  <c r="J107" i="13" s="1"/>
  <c r="L107" i="13" s="1"/>
  <c r="AS75" i="5"/>
  <c r="J117" i="4" s="1"/>
  <c r="L117" i="4" s="1"/>
  <c r="AS96" i="5"/>
  <c r="AT96" i="5" s="1"/>
  <c r="AS175" i="5"/>
  <c r="J175" i="13" s="1"/>
  <c r="L175" i="13" s="1"/>
  <c r="AS125" i="5"/>
  <c r="J95" i="4" s="1"/>
  <c r="L95" i="4" s="1"/>
  <c r="AS67" i="5"/>
  <c r="J67" i="13" s="1"/>
  <c r="L67" i="13" s="1"/>
  <c r="AS24" i="5"/>
  <c r="J169" i="4" s="1"/>
  <c r="L169" i="4" s="1"/>
  <c r="AS95" i="5"/>
  <c r="AT95" i="5" s="1"/>
  <c r="AS25" i="5"/>
  <c r="J25" i="13" s="1"/>
  <c r="L25" i="13" s="1"/>
  <c r="AS60" i="5"/>
  <c r="J60" i="13" s="1"/>
  <c r="L60" i="13" s="1"/>
  <c r="AS51" i="5"/>
  <c r="J4" i="4" s="1"/>
  <c r="AS68" i="5"/>
  <c r="J41" i="4" s="1"/>
  <c r="L41" i="4" s="1"/>
  <c r="AS43" i="5"/>
  <c r="J119" i="4" s="1"/>
  <c r="L119" i="4" s="1"/>
  <c r="AS53" i="5"/>
  <c r="J53" i="13" s="1"/>
  <c r="L53" i="13" s="1"/>
  <c r="AS38" i="5"/>
  <c r="J108" i="4" s="1"/>
  <c r="L108" i="4" s="1"/>
  <c r="AS22" i="5"/>
  <c r="J22" i="13" s="1"/>
  <c r="L22" i="13" s="1"/>
  <c r="R22" i="13" s="1"/>
  <c r="AS115" i="5"/>
  <c r="AT115" i="5" s="1"/>
  <c r="AS28" i="5"/>
  <c r="J28" i="13" s="1"/>
  <c r="L28" i="13" s="1"/>
  <c r="AS3" i="5"/>
  <c r="AT3" i="5" s="1"/>
  <c r="AR177" i="5"/>
  <c r="AR179" i="5" s="1"/>
  <c r="AS6" i="5"/>
  <c r="J46" i="4" s="1"/>
  <c r="L46" i="4" s="1"/>
  <c r="AS13" i="5"/>
  <c r="J13" i="13" s="1"/>
  <c r="L13" i="13" s="1"/>
  <c r="AS55" i="5"/>
  <c r="AT55" i="5" s="1"/>
  <c r="AG177" i="5"/>
  <c r="AG179" i="5" s="1"/>
  <c r="AS17" i="5"/>
  <c r="J149" i="4" s="1"/>
  <c r="L149" i="4" s="1"/>
  <c r="AS82" i="5"/>
  <c r="AT82" i="5" s="1"/>
  <c r="AS15" i="5"/>
  <c r="J120" i="4" s="1"/>
  <c r="L120" i="4" s="1"/>
  <c r="AS45" i="5"/>
  <c r="J63" i="4" s="1"/>
  <c r="L63" i="4" s="1"/>
  <c r="AS72" i="5"/>
  <c r="J96" i="4" s="1"/>
  <c r="L96" i="4" s="1"/>
  <c r="AS14" i="5"/>
  <c r="AT14" i="5" s="1"/>
  <c r="AS36" i="5"/>
  <c r="AT36" i="5" s="1"/>
  <c r="AL177" i="5"/>
  <c r="AL179" i="5" s="1"/>
  <c r="AS26" i="5"/>
  <c r="J26" i="13" s="1"/>
  <c r="L26" i="13" s="1"/>
  <c r="AJ177" i="5"/>
  <c r="AJ179" i="5" s="1"/>
  <c r="AJ181" i="5" s="1"/>
  <c r="AJ182" i="5" s="1"/>
  <c r="AH177" i="5"/>
  <c r="AH179" i="5" s="1"/>
  <c r="AS7" i="5"/>
  <c r="J69" i="4" s="1"/>
  <c r="L69" i="4" s="1"/>
  <c r="AS39" i="5"/>
  <c r="AT39" i="5" s="1"/>
  <c r="AS37" i="5"/>
  <c r="J167" i="4" s="1"/>
  <c r="L167" i="4" s="1"/>
  <c r="AS20" i="5"/>
  <c r="AT20" i="5" s="1"/>
  <c r="AS61" i="5"/>
  <c r="J114" i="4" s="1"/>
  <c r="L114" i="4" s="1"/>
  <c r="AN177" i="5"/>
  <c r="AN179" i="5" s="1"/>
  <c r="AI177" i="5"/>
  <c r="AI179" i="5" s="1"/>
  <c r="AK177" i="5"/>
  <c r="AK179" i="5" s="1"/>
  <c r="AS18" i="5"/>
  <c r="J18" i="13" s="1"/>
  <c r="L18" i="13" s="1"/>
  <c r="AS32" i="5"/>
  <c r="J106" i="4" s="1"/>
  <c r="L106" i="4" s="1"/>
  <c r="AS19" i="5"/>
  <c r="J19" i="13" s="1"/>
  <c r="L19" i="13" s="1"/>
  <c r="AP177" i="5"/>
  <c r="AP179" i="5" s="1"/>
  <c r="AS8" i="5"/>
  <c r="J142" i="4" s="1"/>
  <c r="L142" i="4" s="1"/>
  <c r="AT159" i="5"/>
  <c r="J172" i="13"/>
  <c r="L172" i="13" s="1"/>
  <c r="N172" i="13" s="1"/>
  <c r="AT172" i="5"/>
  <c r="J81" i="4"/>
  <c r="L81" i="4" s="1"/>
  <c r="J112" i="13"/>
  <c r="L112" i="13" s="1"/>
  <c r="AT112" i="5"/>
  <c r="J133" i="4"/>
  <c r="L133" i="4" s="1"/>
  <c r="J27" i="4"/>
  <c r="L27" i="4" s="1"/>
  <c r="J152" i="13"/>
  <c r="L152" i="13" s="1"/>
  <c r="AT164" i="5"/>
  <c r="R116" i="13"/>
  <c r="J52" i="4"/>
  <c r="L52" i="4" s="1"/>
  <c r="J87" i="13"/>
  <c r="L87" i="13" s="1"/>
  <c r="J128" i="13"/>
  <c r="L128" i="13" s="1"/>
  <c r="AT128" i="5"/>
  <c r="J112" i="4"/>
  <c r="L112" i="4" s="1"/>
  <c r="J55" i="4"/>
  <c r="L55" i="4" s="1"/>
  <c r="J171" i="13"/>
  <c r="L171" i="13" s="1"/>
  <c r="AT171" i="5"/>
  <c r="AC49" i="4"/>
  <c r="AE49" i="4" s="1"/>
  <c r="AF49" i="4" s="1"/>
  <c r="N49" i="4" l="1"/>
  <c r="Q49" i="4" s="1"/>
  <c r="Y49" i="4" s="1"/>
  <c r="Z49" i="4" s="1"/>
  <c r="AT161" i="5"/>
  <c r="AT136" i="5"/>
  <c r="J28" i="4"/>
  <c r="L28" i="4" s="1"/>
  <c r="N28" i="4" s="1"/>
  <c r="Q28" i="4" s="1"/>
  <c r="Y28" i="4" s="1"/>
  <c r="J113" i="4"/>
  <c r="L113" i="4" s="1"/>
  <c r="N113" i="4" s="1"/>
  <c r="Q113" i="4" s="1"/>
  <c r="J102" i="4"/>
  <c r="L102" i="4" s="1"/>
  <c r="AC102" i="4" s="1"/>
  <c r="AE102" i="4" s="1"/>
  <c r="AF102" i="4" s="1"/>
  <c r="AT150" i="5"/>
  <c r="J129" i="13"/>
  <c r="L129" i="13" s="1"/>
  <c r="N129" i="13" s="1"/>
  <c r="J85" i="4"/>
  <c r="L85" i="4" s="1"/>
  <c r="N85" i="4" s="1"/>
  <c r="Q85" i="4" s="1"/>
  <c r="Y85" i="4" s="1"/>
  <c r="J86" i="4"/>
  <c r="L86" i="4" s="1"/>
  <c r="AC86" i="4" s="1"/>
  <c r="AE86" i="4" s="1"/>
  <c r="AF86" i="4" s="1"/>
  <c r="J98" i="13"/>
  <c r="L98" i="13" s="1"/>
  <c r="S98" i="13" s="1"/>
  <c r="T98" i="13" s="1"/>
  <c r="AT138" i="5"/>
  <c r="J164" i="13"/>
  <c r="L164" i="13" s="1"/>
  <c r="N164" i="13" s="1"/>
  <c r="AT104" i="5"/>
  <c r="J26" i="4"/>
  <c r="L26" i="4" s="1"/>
  <c r="S26" i="4" s="1"/>
  <c r="AT160" i="5"/>
  <c r="J135" i="4"/>
  <c r="L135" i="4" s="1"/>
  <c r="N135" i="4" s="1"/>
  <c r="Q135" i="4" s="1"/>
  <c r="Y135" i="4" s="1"/>
  <c r="J93" i="13"/>
  <c r="L93" i="13" s="1"/>
  <c r="U93" i="13" s="1"/>
  <c r="AT108" i="5"/>
  <c r="J41" i="13"/>
  <c r="L41" i="13" s="1"/>
  <c r="U41" i="13" s="1"/>
  <c r="AT86" i="5"/>
  <c r="J147" i="4"/>
  <c r="L147" i="4" s="1"/>
  <c r="AC147" i="4" s="1"/>
  <c r="AE147" i="4" s="1"/>
  <c r="AF147" i="4" s="1"/>
  <c r="J75" i="4"/>
  <c r="L75" i="4" s="1"/>
  <c r="AC75" i="4" s="1"/>
  <c r="AE75" i="4" s="1"/>
  <c r="AF75" i="4" s="1"/>
  <c r="AT168" i="5"/>
  <c r="J151" i="13"/>
  <c r="L151" i="13" s="1"/>
  <c r="U151" i="13" s="1"/>
  <c r="AT155" i="5"/>
  <c r="J84" i="4"/>
  <c r="L84" i="4" s="1"/>
  <c r="AC84" i="4" s="1"/>
  <c r="AE84" i="4" s="1"/>
  <c r="AF84" i="4" s="1"/>
  <c r="J153" i="4"/>
  <c r="L153" i="4" s="1"/>
  <c r="AC153" i="4" s="1"/>
  <c r="AE153" i="4" s="1"/>
  <c r="AF153" i="4" s="1"/>
  <c r="J58" i="13"/>
  <c r="L58" i="13" s="1"/>
  <c r="U58" i="13" s="1"/>
  <c r="AT158" i="5"/>
  <c r="AT94" i="5"/>
  <c r="J81" i="13"/>
  <c r="L81" i="13" s="1"/>
  <c r="R81" i="13" s="1"/>
  <c r="S116" i="13"/>
  <c r="T116" i="13" s="1"/>
  <c r="J56" i="13"/>
  <c r="L56" i="13" s="1"/>
  <c r="U56" i="13" s="1"/>
  <c r="J40" i="4"/>
  <c r="L40" i="4" s="1"/>
  <c r="S40" i="4" s="1"/>
  <c r="T40" i="4" s="1"/>
  <c r="J149" i="13"/>
  <c r="L149" i="13" s="1"/>
  <c r="R149" i="13" s="1"/>
  <c r="AT130" i="5"/>
  <c r="J23" i="4"/>
  <c r="L23" i="4" s="1"/>
  <c r="N23" i="4" s="1"/>
  <c r="Q23" i="4" s="1"/>
  <c r="Y23" i="4" s="1"/>
  <c r="J90" i="13"/>
  <c r="L90" i="13" s="1"/>
  <c r="R90" i="13" s="1"/>
  <c r="J32" i="4"/>
  <c r="L32" i="4" s="1"/>
  <c r="S32" i="4" s="1"/>
  <c r="AT48" i="5"/>
  <c r="J165" i="13"/>
  <c r="L165" i="13" s="1"/>
  <c r="S165" i="13" s="1"/>
  <c r="T165" i="13" s="1"/>
  <c r="AT151" i="5"/>
  <c r="AT81" i="5"/>
  <c r="AT109" i="5"/>
  <c r="J11" i="4"/>
  <c r="L11" i="4" s="1"/>
  <c r="S11" i="4" s="1"/>
  <c r="J89" i="13"/>
  <c r="L89" i="13" s="1"/>
  <c r="R89" i="13" s="1"/>
  <c r="J100" i="13"/>
  <c r="L100" i="13" s="1"/>
  <c r="R100" i="13" s="1"/>
  <c r="AT142" i="5"/>
  <c r="J58" i="4"/>
  <c r="L58" i="4" s="1"/>
  <c r="AC58" i="4" s="1"/>
  <c r="AE58" i="4" s="1"/>
  <c r="AF58" i="4" s="1"/>
  <c r="J108" i="13"/>
  <c r="L108" i="13" s="1"/>
  <c r="S108" i="13" s="1"/>
  <c r="T108" i="13" s="1"/>
  <c r="J94" i="13"/>
  <c r="L94" i="13" s="1"/>
  <c r="R94" i="13" s="1"/>
  <c r="AT44" i="5"/>
  <c r="J68" i="4"/>
  <c r="L68" i="4" s="1"/>
  <c r="N68" i="4" s="1"/>
  <c r="Q68" i="4" s="1"/>
  <c r="Y68" i="4" s="1"/>
  <c r="AT165" i="5"/>
  <c r="AT98" i="5"/>
  <c r="J38" i="4"/>
  <c r="L38" i="4" s="1"/>
  <c r="N38" i="4" s="1"/>
  <c r="Q38" i="4" s="1"/>
  <c r="Y38" i="4" s="1"/>
  <c r="J79" i="4"/>
  <c r="L79" i="4" s="1"/>
  <c r="S79" i="4" s="1"/>
  <c r="J78" i="4"/>
  <c r="L78" i="4" s="1"/>
  <c r="AC78" i="4" s="1"/>
  <c r="AE78" i="4" s="1"/>
  <c r="AF78" i="4" s="1"/>
  <c r="J86" i="13"/>
  <c r="L86" i="13" s="1"/>
  <c r="R86" i="13" s="1"/>
  <c r="J65" i="4"/>
  <c r="L65" i="4" s="1"/>
  <c r="AC65" i="4" s="1"/>
  <c r="AE65" i="4" s="1"/>
  <c r="AF65" i="4" s="1"/>
  <c r="J170" i="13"/>
  <c r="L170" i="13" s="1"/>
  <c r="U170" i="13" s="1"/>
  <c r="J165" i="4"/>
  <c r="L165" i="4" s="1"/>
  <c r="S165" i="4" s="1"/>
  <c r="AT147" i="5"/>
  <c r="AT127" i="5"/>
  <c r="AT15" i="5"/>
  <c r="J77" i="4"/>
  <c r="L77" i="4" s="1"/>
  <c r="S77" i="4" s="1"/>
  <c r="AT38" i="5"/>
  <c r="J141" i="4"/>
  <c r="L141" i="4" s="1"/>
  <c r="AC141" i="4" s="1"/>
  <c r="AE141" i="4" s="1"/>
  <c r="AF141" i="4" s="1"/>
  <c r="AT56" i="5"/>
  <c r="J83" i="4"/>
  <c r="L83" i="4" s="1"/>
  <c r="N83" i="4" s="1"/>
  <c r="Q83" i="4" s="1"/>
  <c r="Y83" i="4" s="1"/>
  <c r="J91" i="4"/>
  <c r="L91" i="4" s="1"/>
  <c r="AC91" i="4" s="1"/>
  <c r="AE91" i="4" s="1"/>
  <c r="AF91" i="4" s="1"/>
  <c r="N116" i="13"/>
  <c r="AT116" i="5"/>
  <c r="J167" i="13"/>
  <c r="L167" i="13" s="1"/>
  <c r="N167" i="13" s="1"/>
  <c r="J143" i="13"/>
  <c r="L143" i="13" s="1"/>
  <c r="R143" i="13" s="1"/>
  <c r="J173" i="13"/>
  <c r="L173" i="13" s="1"/>
  <c r="S173" i="13" s="1"/>
  <c r="T173" i="13" s="1"/>
  <c r="J47" i="4"/>
  <c r="L47" i="4" s="1"/>
  <c r="AC47" i="4" s="1"/>
  <c r="AE47" i="4" s="1"/>
  <c r="AF47" i="4" s="1"/>
  <c r="J12" i="13"/>
  <c r="L12" i="13" s="1"/>
  <c r="U12" i="13" s="1"/>
  <c r="AT120" i="5"/>
  <c r="AT137" i="5"/>
  <c r="J173" i="4"/>
  <c r="L173" i="4" s="1"/>
  <c r="N173" i="4" s="1"/>
  <c r="Q173" i="4" s="1"/>
  <c r="Y173" i="4" s="1"/>
  <c r="J63" i="13"/>
  <c r="L63" i="13" s="1"/>
  <c r="U63" i="13" s="1"/>
  <c r="J53" i="4"/>
  <c r="L53" i="4" s="1"/>
  <c r="N53" i="4" s="1"/>
  <c r="Q53" i="4" s="1"/>
  <c r="AT174" i="5"/>
  <c r="AT45" i="5"/>
  <c r="J9" i="13"/>
  <c r="L9" i="13" s="1"/>
  <c r="U9" i="13" s="1"/>
  <c r="J163" i="13"/>
  <c r="L163" i="13" s="1"/>
  <c r="N163" i="13" s="1"/>
  <c r="AT131" i="5"/>
  <c r="AT23" i="5"/>
  <c r="AT68" i="5"/>
  <c r="J54" i="4"/>
  <c r="L54" i="4" s="1"/>
  <c r="N54" i="4" s="1"/>
  <c r="Q54" i="4" s="1"/>
  <c r="J17" i="4"/>
  <c r="L17" i="4" s="1"/>
  <c r="S17" i="4" s="1"/>
  <c r="AT54" i="5"/>
  <c r="AT123" i="5"/>
  <c r="J107" i="4"/>
  <c r="L107" i="4" s="1"/>
  <c r="N107" i="4" s="1"/>
  <c r="Q107" i="4" s="1"/>
  <c r="J7" i="4"/>
  <c r="L7" i="4" s="1"/>
  <c r="S7" i="4" s="1"/>
  <c r="N159" i="13"/>
  <c r="J159" i="4"/>
  <c r="L159" i="4" s="1"/>
  <c r="S159" i="4" s="1"/>
  <c r="U22" i="13"/>
  <c r="J139" i="4"/>
  <c r="L139" i="4" s="1"/>
  <c r="S139" i="4" s="1"/>
  <c r="J124" i="4"/>
  <c r="L124" i="4" s="1"/>
  <c r="N124" i="4" s="1"/>
  <c r="Q124" i="4" s="1"/>
  <c r="Y124" i="4" s="1"/>
  <c r="AT110" i="5"/>
  <c r="J57" i="4"/>
  <c r="L57" i="4" s="1"/>
  <c r="S57" i="4" s="1"/>
  <c r="J40" i="13"/>
  <c r="L40" i="13" s="1"/>
  <c r="N40" i="13" s="1"/>
  <c r="AT145" i="5"/>
  <c r="J132" i="13"/>
  <c r="L132" i="13" s="1"/>
  <c r="R132" i="13" s="1"/>
  <c r="J139" i="13"/>
  <c r="L139" i="13" s="1"/>
  <c r="S139" i="13" s="1"/>
  <c r="T139" i="13" s="1"/>
  <c r="AT119" i="5"/>
  <c r="U159" i="13"/>
  <c r="J57" i="13"/>
  <c r="L57" i="13" s="1"/>
  <c r="N57" i="13" s="1"/>
  <c r="AT139" i="5"/>
  <c r="J145" i="13"/>
  <c r="L145" i="13" s="1"/>
  <c r="U145" i="13" s="1"/>
  <c r="J76" i="4"/>
  <c r="L76" i="4" s="1"/>
  <c r="AC76" i="4" s="1"/>
  <c r="AE76" i="4" s="1"/>
  <c r="AF76" i="4" s="1"/>
  <c r="J90" i="4"/>
  <c r="L90" i="4" s="1"/>
  <c r="S90" i="4" s="1"/>
  <c r="R159" i="13"/>
  <c r="U118" i="13"/>
  <c r="J102" i="13"/>
  <c r="L102" i="13" s="1"/>
  <c r="U102" i="13" s="1"/>
  <c r="J25" i="4"/>
  <c r="L25" i="4" s="1"/>
  <c r="S25" i="4" s="1"/>
  <c r="W25" i="4" s="1"/>
  <c r="J39" i="13"/>
  <c r="L39" i="13" s="1"/>
  <c r="N39" i="13" s="1"/>
  <c r="AT32" i="5"/>
  <c r="AT75" i="5"/>
  <c r="J12" i="4"/>
  <c r="L12" i="4" s="1"/>
  <c r="N12" i="4" s="1"/>
  <c r="Q12" i="4" s="1"/>
  <c r="J45" i="4"/>
  <c r="L45" i="4" s="1"/>
  <c r="S45" i="4" s="1"/>
  <c r="J166" i="13"/>
  <c r="L166" i="13" s="1"/>
  <c r="N166" i="13" s="1"/>
  <c r="J103" i="4"/>
  <c r="L103" i="4" s="1"/>
  <c r="AC103" i="4" s="1"/>
  <c r="AE103" i="4" s="1"/>
  <c r="AF103" i="4" s="1"/>
  <c r="J115" i="4"/>
  <c r="L115" i="4" s="1"/>
  <c r="S115" i="4" s="1"/>
  <c r="J94" i="4"/>
  <c r="L94" i="4" s="1"/>
  <c r="N94" i="4" s="1"/>
  <c r="Q94" i="4" s="1"/>
  <c r="AD94" i="4" s="1"/>
  <c r="AG94" i="4" s="1"/>
  <c r="AH94" i="4" s="1"/>
  <c r="J141" i="13"/>
  <c r="L141" i="13" s="1"/>
  <c r="U141" i="13" s="1"/>
  <c r="AT169" i="5"/>
  <c r="J36" i="4"/>
  <c r="L36" i="4" s="1"/>
  <c r="AC36" i="4" s="1"/>
  <c r="AE36" i="4" s="1"/>
  <c r="AF36" i="4" s="1"/>
  <c r="J137" i="13"/>
  <c r="L137" i="13" s="1"/>
  <c r="S137" i="13" s="1"/>
  <c r="T137" i="13" s="1"/>
  <c r="J44" i="4"/>
  <c r="L44" i="4" s="1"/>
  <c r="N44" i="4" s="1"/>
  <c r="Q44" i="4" s="1"/>
  <c r="Y44" i="4" s="1"/>
  <c r="AT69" i="5"/>
  <c r="AT70" i="5"/>
  <c r="AT30" i="5"/>
  <c r="J30" i="4"/>
  <c r="L30" i="4" s="1"/>
  <c r="AC30" i="4" s="1"/>
  <c r="AE30" i="4" s="1"/>
  <c r="AF30" i="4" s="1"/>
  <c r="AT66" i="5"/>
  <c r="J80" i="4"/>
  <c r="L80" i="4" s="1"/>
  <c r="AC80" i="4" s="1"/>
  <c r="AE80" i="4" s="1"/>
  <c r="AF80" i="4" s="1"/>
  <c r="AT140" i="5"/>
  <c r="J23" i="13"/>
  <c r="L23" i="13" s="1"/>
  <c r="N23" i="13" s="1"/>
  <c r="AT122" i="5"/>
  <c r="J123" i="13"/>
  <c r="L123" i="13" s="1"/>
  <c r="U123" i="13" s="1"/>
  <c r="N22" i="13"/>
  <c r="J29" i="4"/>
  <c r="L29" i="4" s="1"/>
  <c r="AC29" i="4" s="1"/>
  <c r="AE29" i="4" s="1"/>
  <c r="AF29" i="4" s="1"/>
  <c r="J150" i="4"/>
  <c r="L150" i="4" s="1"/>
  <c r="S150" i="4" s="1"/>
  <c r="J171" i="4"/>
  <c r="L171" i="4" s="1"/>
  <c r="N171" i="4" s="1"/>
  <c r="Q171" i="4" s="1"/>
  <c r="Y171" i="4" s="1"/>
  <c r="AT163" i="5"/>
  <c r="AT91" i="5"/>
  <c r="J110" i="13"/>
  <c r="L110" i="13" s="1"/>
  <c r="N110" i="13" s="1"/>
  <c r="J77" i="13"/>
  <c r="L77" i="13" s="1"/>
  <c r="S77" i="13" s="1"/>
  <c r="T77" i="13" s="1"/>
  <c r="J125" i="4"/>
  <c r="L125" i="4" s="1"/>
  <c r="J22" i="4"/>
  <c r="L22" i="4" s="1"/>
  <c r="AC22" i="4" s="1"/>
  <c r="AE22" i="4" s="1"/>
  <c r="AF22" i="4" s="1"/>
  <c r="J132" i="4"/>
  <c r="L132" i="4" s="1"/>
  <c r="N132" i="4" s="1"/>
  <c r="Q132" i="4" s="1"/>
  <c r="AT121" i="5"/>
  <c r="J69" i="13"/>
  <c r="L69" i="13" s="1"/>
  <c r="R69" i="13" s="1"/>
  <c r="AT63" i="5"/>
  <c r="AT148" i="5"/>
  <c r="AT46" i="5"/>
  <c r="J45" i="13"/>
  <c r="L45" i="13" s="1"/>
  <c r="R45" i="13" s="1"/>
  <c r="J140" i="13"/>
  <c r="L140" i="13" s="1"/>
  <c r="N140" i="13" s="1"/>
  <c r="J54" i="13"/>
  <c r="L54" i="13" s="1"/>
  <c r="R54" i="13" s="1"/>
  <c r="J120" i="13"/>
  <c r="L120" i="13" s="1"/>
  <c r="N120" i="13" s="1"/>
  <c r="S22" i="13"/>
  <c r="T22" i="13" s="1"/>
  <c r="J68" i="13"/>
  <c r="L68" i="13" s="1"/>
  <c r="R68" i="13" s="1"/>
  <c r="AT175" i="5"/>
  <c r="AT106" i="5"/>
  <c r="AT49" i="5"/>
  <c r="AT114" i="5"/>
  <c r="AT59" i="5"/>
  <c r="J19" i="4"/>
  <c r="L19" i="4" s="1"/>
  <c r="N19" i="4" s="1"/>
  <c r="Q19" i="4" s="1"/>
  <c r="Y19" i="4" s="1"/>
  <c r="AA19" i="4" s="1"/>
  <c r="J95" i="13"/>
  <c r="L95" i="13" s="1"/>
  <c r="U95" i="13" s="1"/>
  <c r="AT22" i="5"/>
  <c r="AT34" i="5"/>
  <c r="J97" i="4"/>
  <c r="L97" i="4" s="1"/>
  <c r="AC97" i="4" s="1"/>
  <c r="AE97" i="4" s="1"/>
  <c r="AF97" i="4" s="1"/>
  <c r="J31" i="13"/>
  <c r="L31" i="13" s="1"/>
  <c r="S31" i="13" s="1"/>
  <c r="T31" i="13" s="1"/>
  <c r="J113" i="13"/>
  <c r="L113" i="13" s="1"/>
  <c r="S113" i="13" s="1"/>
  <c r="T113" i="13" s="1"/>
  <c r="AT101" i="5"/>
  <c r="J138" i="4"/>
  <c r="L138" i="4" s="1"/>
  <c r="S138" i="4" s="1"/>
  <c r="AT73" i="5"/>
  <c r="AT88" i="5"/>
  <c r="AT29" i="5"/>
  <c r="J105" i="13"/>
  <c r="L105" i="13" s="1"/>
  <c r="R105" i="13" s="1"/>
  <c r="J76" i="13"/>
  <c r="L76" i="13" s="1"/>
  <c r="N76" i="13" s="1"/>
  <c r="J56" i="4"/>
  <c r="L56" i="4" s="1"/>
  <c r="S56" i="4" s="1"/>
  <c r="J64" i="4"/>
  <c r="L64" i="4" s="1"/>
  <c r="N64" i="4" s="1"/>
  <c r="Q64" i="4" s="1"/>
  <c r="Y64" i="4" s="1"/>
  <c r="J50" i="4"/>
  <c r="L50" i="4" s="1"/>
  <c r="N50" i="4" s="1"/>
  <c r="Q50" i="4" s="1"/>
  <c r="Y50" i="4" s="1"/>
  <c r="J4" i="13"/>
  <c r="L4" i="13" s="1"/>
  <c r="S4" i="13" s="1"/>
  <c r="T4" i="13" s="1"/>
  <c r="J158" i="4"/>
  <c r="L158" i="4" s="1"/>
  <c r="S158" i="4" s="1"/>
  <c r="J162" i="13"/>
  <c r="L162" i="13" s="1"/>
  <c r="N162" i="13" s="1"/>
  <c r="J73" i="13"/>
  <c r="L73" i="13" s="1"/>
  <c r="R73" i="13" s="1"/>
  <c r="J88" i="13"/>
  <c r="L88" i="13" s="1"/>
  <c r="R88" i="13" s="1"/>
  <c r="J16" i="4"/>
  <c r="L16" i="4" s="1"/>
  <c r="AC16" i="4" s="1"/>
  <c r="AE16" i="4" s="1"/>
  <c r="AF16" i="4" s="1"/>
  <c r="J168" i="4"/>
  <c r="L168" i="4" s="1"/>
  <c r="S168" i="4" s="1"/>
  <c r="J164" i="4"/>
  <c r="L164" i="4" s="1"/>
  <c r="AC164" i="4" s="1"/>
  <c r="AE164" i="4" s="1"/>
  <c r="AF164" i="4" s="1"/>
  <c r="J39" i="4"/>
  <c r="L39" i="4" s="1"/>
  <c r="S39" i="4" s="1"/>
  <c r="J74" i="4"/>
  <c r="L74" i="4" s="1"/>
  <c r="N74" i="4" s="1"/>
  <c r="Q74" i="4" s="1"/>
  <c r="J48" i="4"/>
  <c r="L48" i="4" s="1"/>
  <c r="AC48" i="4" s="1"/>
  <c r="AE48" i="4" s="1"/>
  <c r="AF48" i="4" s="1"/>
  <c r="AT67" i="5"/>
  <c r="J152" i="4"/>
  <c r="L152" i="4" s="1"/>
  <c r="N152" i="4" s="1"/>
  <c r="Q152" i="4" s="1"/>
  <c r="AT79" i="5"/>
  <c r="J140" i="4"/>
  <c r="L140" i="4" s="1"/>
  <c r="N140" i="4" s="1"/>
  <c r="Q140" i="4" s="1"/>
  <c r="Y140" i="4" s="1"/>
  <c r="AT5" i="5"/>
  <c r="J117" i="13"/>
  <c r="L117" i="13" s="1"/>
  <c r="R117" i="13" s="1"/>
  <c r="J33" i="4"/>
  <c r="L33" i="4" s="1"/>
  <c r="N33" i="4" s="1"/>
  <c r="Q33" i="4" s="1"/>
  <c r="Y33" i="4" s="1"/>
  <c r="J135" i="13"/>
  <c r="L135" i="13" s="1"/>
  <c r="U135" i="13" s="1"/>
  <c r="J62" i="13"/>
  <c r="L62" i="13" s="1"/>
  <c r="N62" i="13" s="1"/>
  <c r="J99" i="13"/>
  <c r="L99" i="13" s="1"/>
  <c r="R99" i="13" s="1"/>
  <c r="J101" i="13"/>
  <c r="L101" i="13" s="1"/>
  <c r="S101" i="13" s="1"/>
  <c r="T101" i="13" s="1"/>
  <c r="AT154" i="5"/>
  <c r="J34" i="13"/>
  <c r="L34" i="13" s="1"/>
  <c r="S34" i="13" s="1"/>
  <c r="T34" i="13" s="1"/>
  <c r="AT133" i="5"/>
  <c r="J157" i="13"/>
  <c r="L157" i="13" s="1"/>
  <c r="R157" i="13" s="1"/>
  <c r="AT31" i="5"/>
  <c r="AT85" i="5"/>
  <c r="J103" i="13"/>
  <c r="L103" i="13" s="1"/>
  <c r="U103" i="13" s="1"/>
  <c r="AT52" i="5"/>
  <c r="AT74" i="5"/>
  <c r="J14" i="13"/>
  <c r="L14" i="13" s="1"/>
  <c r="U14" i="13" s="1"/>
  <c r="AT21" i="5"/>
  <c r="J175" i="4"/>
  <c r="L175" i="4" s="1"/>
  <c r="S175" i="4" s="1"/>
  <c r="J67" i="4"/>
  <c r="L67" i="4" s="1"/>
  <c r="AC67" i="4" s="1"/>
  <c r="AE67" i="4" s="1"/>
  <c r="AF67" i="4" s="1"/>
  <c r="J169" i="13"/>
  <c r="L169" i="13" s="1"/>
  <c r="U169" i="13" s="1"/>
  <c r="J5" i="13"/>
  <c r="L5" i="13" s="1"/>
  <c r="N5" i="13" s="1"/>
  <c r="J21" i="4"/>
  <c r="L21" i="4" s="1"/>
  <c r="N21" i="4" s="1"/>
  <c r="Q21" i="4" s="1"/>
  <c r="Y21" i="4" s="1"/>
  <c r="AT117" i="5"/>
  <c r="J52" i="13"/>
  <c r="L52" i="13" s="1"/>
  <c r="R52" i="13" s="1"/>
  <c r="J62" i="4"/>
  <c r="L62" i="4" s="1"/>
  <c r="AC62" i="4" s="1"/>
  <c r="AE62" i="4" s="1"/>
  <c r="AF62" i="4" s="1"/>
  <c r="J110" i="4"/>
  <c r="L110" i="4" s="1"/>
  <c r="AC110" i="4" s="1"/>
  <c r="AE110" i="4" s="1"/>
  <c r="AF110" i="4" s="1"/>
  <c r="J75" i="13"/>
  <c r="L75" i="13" s="1"/>
  <c r="N75" i="13" s="1"/>
  <c r="N118" i="13"/>
  <c r="AT17" i="5"/>
  <c r="J88" i="4"/>
  <c r="L88" i="4" s="1"/>
  <c r="AT26" i="5"/>
  <c r="S118" i="13"/>
  <c r="T118" i="13" s="1"/>
  <c r="J99" i="4"/>
  <c r="L99" i="4" s="1"/>
  <c r="AC99" i="4" s="1"/>
  <c r="AE99" i="4" s="1"/>
  <c r="AF99" i="4" s="1"/>
  <c r="J9" i="4"/>
  <c r="L9" i="4" s="1"/>
  <c r="S9" i="4" s="1"/>
  <c r="AT118" i="5"/>
  <c r="AT65" i="5"/>
  <c r="J65" i="13"/>
  <c r="L65" i="13" s="1"/>
  <c r="S65" i="13" s="1"/>
  <c r="T65" i="13" s="1"/>
  <c r="J33" i="13"/>
  <c r="L33" i="13" s="1"/>
  <c r="N33" i="13" s="1"/>
  <c r="AT64" i="5"/>
  <c r="J121" i="4"/>
  <c r="L121" i="4" s="1"/>
  <c r="S121" i="4" s="1"/>
  <c r="J89" i="4"/>
  <c r="L89" i="4" s="1"/>
  <c r="AC89" i="4" s="1"/>
  <c r="AE89" i="4" s="1"/>
  <c r="AF89" i="4" s="1"/>
  <c r="J98" i="4"/>
  <c r="L98" i="4" s="1"/>
  <c r="N98" i="4" s="1"/>
  <c r="Q98" i="4" s="1"/>
  <c r="Y98" i="4" s="1"/>
  <c r="AT134" i="5"/>
  <c r="J161" i="4"/>
  <c r="L161" i="4" s="1"/>
  <c r="AC161" i="4" s="1"/>
  <c r="AE161" i="4" s="1"/>
  <c r="AF161" i="4" s="1"/>
  <c r="J115" i="13"/>
  <c r="L115" i="13" s="1"/>
  <c r="U115" i="13" s="1"/>
  <c r="AT16" i="5"/>
  <c r="J84" i="13"/>
  <c r="L84" i="13" s="1"/>
  <c r="R84" i="13" s="1"/>
  <c r="J16" i="13"/>
  <c r="L16" i="13" s="1"/>
  <c r="U16" i="13" s="1"/>
  <c r="J50" i="13"/>
  <c r="L50" i="13" s="1"/>
  <c r="U50" i="13" s="1"/>
  <c r="AT42" i="5"/>
  <c r="J136" i="4"/>
  <c r="L136" i="4" s="1"/>
  <c r="S136" i="4" s="1"/>
  <c r="AT72" i="5"/>
  <c r="AT124" i="5"/>
  <c r="J144" i="13"/>
  <c r="L144" i="13" s="1"/>
  <c r="N144" i="13" s="1"/>
  <c r="J71" i="4"/>
  <c r="L71" i="4" s="1"/>
  <c r="S71" i="4" s="1"/>
  <c r="AT78" i="5"/>
  <c r="J172" i="4"/>
  <c r="L172" i="4" s="1"/>
  <c r="AC172" i="4" s="1"/>
  <c r="AE172" i="4" s="1"/>
  <c r="AF172" i="4" s="1"/>
  <c r="AT153" i="5"/>
  <c r="J128" i="4"/>
  <c r="L128" i="4" s="1"/>
  <c r="AC128" i="4" s="1"/>
  <c r="AE128" i="4" s="1"/>
  <c r="AF128" i="4" s="1"/>
  <c r="J157" i="4"/>
  <c r="L157" i="4" s="1"/>
  <c r="N157" i="4" s="1"/>
  <c r="Q157" i="4" s="1"/>
  <c r="J111" i="4"/>
  <c r="L111" i="4" s="1"/>
  <c r="AC111" i="4" s="1"/>
  <c r="AE111" i="4" s="1"/>
  <c r="AF111" i="4" s="1"/>
  <c r="J134" i="13"/>
  <c r="L134" i="13" s="1"/>
  <c r="S134" i="13" s="1"/>
  <c r="T134" i="13" s="1"/>
  <c r="J42" i="13"/>
  <c r="L42" i="13" s="1"/>
  <c r="N42" i="13" s="1"/>
  <c r="AT126" i="5"/>
  <c r="AT6" i="5"/>
  <c r="J101" i="4"/>
  <c r="L101" i="4" s="1"/>
  <c r="S101" i="4" s="1"/>
  <c r="J122" i="4"/>
  <c r="L122" i="4" s="1"/>
  <c r="N122" i="4" s="1"/>
  <c r="Q122" i="4" s="1"/>
  <c r="Y122" i="4" s="1"/>
  <c r="J10" i="13"/>
  <c r="L10" i="13" s="1"/>
  <c r="N10" i="13" s="1"/>
  <c r="AT43" i="5"/>
  <c r="J72" i="13"/>
  <c r="L72" i="13" s="1"/>
  <c r="N72" i="13" s="1"/>
  <c r="J17" i="13"/>
  <c r="L17" i="13" s="1"/>
  <c r="R17" i="13" s="1"/>
  <c r="J126" i="4"/>
  <c r="L126" i="4" s="1"/>
  <c r="AC126" i="4" s="1"/>
  <c r="AE126" i="4" s="1"/>
  <c r="AF126" i="4" s="1"/>
  <c r="J146" i="4"/>
  <c r="L146" i="4" s="1"/>
  <c r="AC146" i="4" s="1"/>
  <c r="AE146" i="4" s="1"/>
  <c r="AF146" i="4" s="1"/>
  <c r="J73" i="4"/>
  <c r="L73" i="4" s="1"/>
  <c r="S73" i="4" s="1"/>
  <c r="AT27" i="5"/>
  <c r="J124" i="13"/>
  <c r="L124" i="13" s="1"/>
  <c r="U124" i="13" s="1"/>
  <c r="AT125" i="5"/>
  <c r="J146" i="13"/>
  <c r="L146" i="13" s="1"/>
  <c r="U146" i="13" s="1"/>
  <c r="J59" i="4"/>
  <c r="L59" i="4" s="1"/>
  <c r="S59" i="4" s="1"/>
  <c r="AT156" i="5"/>
  <c r="J64" i="13"/>
  <c r="L64" i="13" s="1"/>
  <c r="U64" i="13" s="1"/>
  <c r="AT25" i="5"/>
  <c r="J6" i="13"/>
  <c r="L6" i="13" s="1"/>
  <c r="R6" i="13" s="1"/>
  <c r="AT92" i="5"/>
  <c r="AT35" i="5"/>
  <c r="J43" i="13"/>
  <c r="L43" i="13" s="1"/>
  <c r="R43" i="13" s="1"/>
  <c r="AT83" i="5"/>
  <c r="AT107" i="5"/>
  <c r="J144" i="4"/>
  <c r="L144" i="4" s="1"/>
  <c r="AC144" i="4" s="1"/>
  <c r="AE144" i="4" s="1"/>
  <c r="AF144" i="4" s="1"/>
  <c r="J87" i="4"/>
  <c r="L87" i="4" s="1"/>
  <c r="S87" i="4" s="1"/>
  <c r="J125" i="13"/>
  <c r="L125" i="13" s="1"/>
  <c r="R125" i="13" s="1"/>
  <c r="J8" i="13"/>
  <c r="L8" i="13" s="1"/>
  <c r="U8" i="13" s="1"/>
  <c r="J37" i="13"/>
  <c r="L37" i="13" s="1"/>
  <c r="U37" i="13" s="1"/>
  <c r="J118" i="4"/>
  <c r="L118" i="4" s="1"/>
  <c r="AC118" i="4" s="1"/>
  <c r="AE118" i="4" s="1"/>
  <c r="AF118" i="4" s="1"/>
  <c r="S11" i="13"/>
  <c r="T11" i="13" s="1"/>
  <c r="J6" i="4"/>
  <c r="L6" i="4" s="1"/>
  <c r="N6" i="4" s="1"/>
  <c r="Q6" i="4" s="1"/>
  <c r="Y6" i="4" s="1"/>
  <c r="AT111" i="5"/>
  <c r="AT24" i="5"/>
  <c r="J47" i="13"/>
  <c r="L47" i="13" s="1"/>
  <c r="S47" i="13" s="1"/>
  <c r="T47" i="13" s="1"/>
  <c r="J129" i="4"/>
  <c r="L129" i="4" s="1"/>
  <c r="S129" i="4" s="1"/>
  <c r="T129" i="4" s="1"/>
  <c r="J20" i="4"/>
  <c r="L20" i="4" s="1"/>
  <c r="S20" i="4" s="1"/>
  <c r="J3" i="13"/>
  <c r="L3" i="13" s="1"/>
  <c r="S172" i="13"/>
  <c r="T172" i="13" s="1"/>
  <c r="J31" i="4"/>
  <c r="L31" i="4" s="1"/>
  <c r="AC31" i="4" s="1"/>
  <c r="AE31" i="4" s="1"/>
  <c r="AF31" i="4" s="1"/>
  <c r="J92" i="4"/>
  <c r="L92" i="4" s="1"/>
  <c r="S92" i="4" s="1"/>
  <c r="AT80" i="5"/>
  <c r="J145" i="4"/>
  <c r="L145" i="4" s="1"/>
  <c r="N145" i="4" s="1"/>
  <c r="Q145" i="4" s="1"/>
  <c r="J134" i="4"/>
  <c r="L134" i="4" s="1"/>
  <c r="S134" i="4" s="1"/>
  <c r="AT51" i="5"/>
  <c r="J55" i="13"/>
  <c r="L55" i="13" s="1"/>
  <c r="S55" i="13" s="1"/>
  <c r="T55" i="13" s="1"/>
  <c r="AT7" i="5"/>
  <c r="AT18" i="5"/>
  <c r="AT61" i="5"/>
  <c r="J38" i="13"/>
  <c r="L38" i="13" s="1"/>
  <c r="S38" i="13" s="1"/>
  <c r="T38" i="13" s="1"/>
  <c r="R11" i="13"/>
  <c r="J105" i="4"/>
  <c r="L105" i="4" s="1"/>
  <c r="S105" i="4" s="1"/>
  <c r="U172" i="13"/>
  <c r="J24" i="13"/>
  <c r="L24" i="13" s="1"/>
  <c r="R24" i="13" s="1"/>
  <c r="J97" i="13"/>
  <c r="L97" i="13" s="1"/>
  <c r="S97" i="13" s="1"/>
  <c r="T97" i="13" s="1"/>
  <c r="J51" i="13"/>
  <c r="L51" i="13" s="1"/>
  <c r="S51" i="13" s="1"/>
  <c r="T51" i="13" s="1"/>
  <c r="J96" i="13"/>
  <c r="L96" i="13" s="1"/>
  <c r="R96" i="13" s="1"/>
  <c r="J5" i="4"/>
  <c r="L5" i="4" s="1"/>
  <c r="N5" i="4" s="1"/>
  <c r="Q5" i="4" s="1"/>
  <c r="Y5" i="4" s="1"/>
  <c r="AT71" i="5"/>
  <c r="J7" i="13"/>
  <c r="L7" i="13" s="1"/>
  <c r="R7" i="13" s="1"/>
  <c r="J15" i="13"/>
  <c r="L15" i="13" s="1"/>
  <c r="N15" i="13" s="1"/>
  <c r="J174" i="4"/>
  <c r="L174" i="4" s="1"/>
  <c r="N174" i="4" s="1"/>
  <c r="Q174" i="4" s="1"/>
  <c r="Y174" i="4" s="1"/>
  <c r="J61" i="13"/>
  <c r="L61" i="13" s="1"/>
  <c r="U61" i="13" s="1"/>
  <c r="U11" i="13"/>
  <c r="J36" i="13"/>
  <c r="L36" i="13" s="1"/>
  <c r="U36" i="13" s="1"/>
  <c r="AT11" i="5"/>
  <c r="AT60" i="5"/>
  <c r="AT53" i="5"/>
  <c r="AT28" i="5"/>
  <c r="J137" i="4"/>
  <c r="L137" i="4" s="1"/>
  <c r="AC137" i="4" s="1"/>
  <c r="AE137" i="4" s="1"/>
  <c r="AF137" i="4" s="1"/>
  <c r="J163" i="4"/>
  <c r="L163" i="4" s="1"/>
  <c r="N163" i="4" s="1"/>
  <c r="Q163" i="4" s="1"/>
  <c r="Y163" i="4" s="1"/>
  <c r="J82" i="13"/>
  <c r="L82" i="13" s="1"/>
  <c r="R82" i="13" s="1"/>
  <c r="J20" i="13"/>
  <c r="L20" i="13" s="1"/>
  <c r="R20" i="13" s="1"/>
  <c r="J51" i="4"/>
  <c r="L51" i="4" s="1"/>
  <c r="S51" i="4" s="1"/>
  <c r="AT13" i="5"/>
  <c r="J156" i="4"/>
  <c r="L156" i="4" s="1"/>
  <c r="N156" i="4" s="1"/>
  <c r="Q156" i="4" s="1"/>
  <c r="Y156" i="4" s="1"/>
  <c r="J82" i="4"/>
  <c r="L82" i="4" s="1"/>
  <c r="N82" i="4" s="1"/>
  <c r="Q82" i="4" s="1"/>
  <c r="Y82" i="4" s="1"/>
  <c r="AT37" i="5"/>
  <c r="AT19" i="5"/>
  <c r="J32" i="13"/>
  <c r="L32" i="13" s="1"/>
  <c r="R32" i="13" s="1"/>
  <c r="AT8" i="5"/>
  <c r="AS177" i="5"/>
  <c r="AQ178" i="5" s="1"/>
  <c r="R172" i="13"/>
  <c r="U147" i="13"/>
  <c r="N147" i="13"/>
  <c r="S147" i="13"/>
  <c r="T147" i="13" s="1"/>
  <c r="R147" i="13"/>
  <c r="AC26" i="4"/>
  <c r="AE26" i="4" s="1"/>
  <c r="AF26" i="4" s="1"/>
  <c r="S15" i="4"/>
  <c r="N15" i="4"/>
  <c r="Q15" i="4" s="1"/>
  <c r="Y15" i="4" s="1"/>
  <c r="AC15" i="4"/>
  <c r="AE15" i="4" s="1"/>
  <c r="AF15" i="4" s="1"/>
  <c r="AA49" i="4"/>
  <c r="S112" i="4"/>
  <c r="AC112" i="4"/>
  <c r="AE112" i="4" s="1"/>
  <c r="AF112" i="4" s="1"/>
  <c r="N112" i="4"/>
  <c r="Q112" i="4" s="1"/>
  <c r="Y112" i="4" s="1"/>
  <c r="U126" i="13"/>
  <c r="N126" i="13"/>
  <c r="S126" i="13"/>
  <c r="T126" i="13" s="1"/>
  <c r="R126" i="13"/>
  <c r="U79" i="13"/>
  <c r="S79" i="13"/>
  <c r="T79" i="13" s="1"/>
  <c r="N79" i="13"/>
  <c r="R79" i="13"/>
  <c r="U92" i="13"/>
  <c r="N92" i="13"/>
  <c r="S92" i="13"/>
  <c r="T92" i="13" s="1"/>
  <c r="R92" i="13"/>
  <c r="AC63" i="4"/>
  <c r="AE63" i="4" s="1"/>
  <c r="AF63" i="4" s="1"/>
  <c r="N63" i="4"/>
  <c r="Q63" i="4" s="1"/>
  <c r="S63" i="4"/>
  <c r="N104" i="4"/>
  <c r="Q104" i="4" s="1"/>
  <c r="Y104" i="4" s="1"/>
  <c r="S104" i="4"/>
  <c r="AC104" i="4"/>
  <c r="AE104" i="4" s="1"/>
  <c r="AF104" i="4" s="1"/>
  <c r="AC130" i="4"/>
  <c r="AE130" i="4" s="1"/>
  <c r="AF130" i="4" s="1"/>
  <c r="N130" i="4"/>
  <c r="Q130" i="4" s="1"/>
  <c r="Y130" i="4" s="1"/>
  <c r="S130" i="4"/>
  <c r="AC37" i="4"/>
  <c r="AE37" i="4" s="1"/>
  <c r="AF37" i="4" s="1"/>
  <c r="S37" i="4"/>
  <c r="N37" i="4"/>
  <c r="Q37" i="4" s="1"/>
  <c r="N27" i="4"/>
  <c r="Q27" i="4" s="1"/>
  <c r="Y27" i="4" s="1"/>
  <c r="AC27" i="4"/>
  <c r="AE27" i="4" s="1"/>
  <c r="AF27" i="4" s="1"/>
  <c r="S27" i="4"/>
  <c r="AC42" i="4"/>
  <c r="AE42" i="4" s="1"/>
  <c r="AF42" i="4" s="1"/>
  <c r="N42" i="4"/>
  <c r="Q42" i="4" s="1"/>
  <c r="S42" i="4"/>
  <c r="U59" i="13"/>
  <c r="R59" i="13"/>
  <c r="S59" i="13"/>
  <c r="T59" i="13" s="1"/>
  <c r="N59" i="13"/>
  <c r="U142" i="13"/>
  <c r="S142" i="13"/>
  <c r="T142" i="13" s="1"/>
  <c r="R142" i="13"/>
  <c r="N142" i="13"/>
  <c r="N74" i="13"/>
  <c r="R74" i="13"/>
  <c r="U74" i="13"/>
  <c r="S74" i="13"/>
  <c r="T74" i="13" s="1"/>
  <c r="N93" i="4"/>
  <c r="Q93" i="4" s="1"/>
  <c r="Y93" i="4" s="1"/>
  <c r="S93" i="4"/>
  <c r="AC93" i="4"/>
  <c r="AE93" i="4" s="1"/>
  <c r="AF93" i="4" s="1"/>
  <c r="AC170" i="4"/>
  <c r="AE170" i="4" s="1"/>
  <c r="AF170" i="4" s="1"/>
  <c r="S170" i="4"/>
  <c r="N170" i="4"/>
  <c r="Q170" i="4" s="1"/>
  <c r="U78" i="13"/>
  <c r="S78" i="13"/>
  <c r="T78" i="13" s="1"/>
  <c r="N78" i="13"/>
  <c r="R78" i="13"/>
  <c r="AC131" i="4"/>
  <c r="AE131" i="4" s="1"/>
  <c r="AF131" i="4" s="1"/>
  <c r="S131" i="4"/>
  <c r="N131" i="4"/>
  <c r="Q131" i="4" s="1"/>
  <c r="Y131" i="4" s="1"/>
  <c r="R26" i="13"/>
  <c r="U26" i="13"/>
  <c r="S26" i="13"/>
  <c r="T26" i="13" s="1"/>
  <c r="N26" i="13"/>
  <c r="S143" i="4"/>
  <c r="N143" i="4"/>
  <c r="Q143" i="4" s="1"/>
  <c r="AC143" i="4"/>
  <c r="AE143" i="4" s="1"/>
  <c r="AF143" i="4" s="1"/>
  <c r="U127" i="13"/>
  <c r="N127" i="13"/>
  <c r="S127" i="13"/>
  <c r="T127" i="13" s="1"/>
  <c r="R127" i="13"/>
  <c r="N8" i="4"/>
  <c r="Q8" i="4" s="1"/>
  <c r="Y8" i="4" s="1"/>
  <c r="AC8" i="4"/>
  <c r="AE8" i="4" s="1"/>
  <c r="AF8" i="4" s="1"/>
  <c r="S8" i="4"/>
  <c r="S106" i="4"/>
  <c r="AC106" i="4"/>
  <c r="AE106" i="4" s="1"/>
  <c r="AF106" i="4" s="1"/>
  <c r="N106" i="4"/>
  <c r="Q106" i="4" s="1"/>
  <c r="Y106" i="4" s="1"/>
  <c r="T49" i="4"/>
  <c r="W49" i="4"/>
  <c r="S24" i="4"/>
  <c r="N24" i="4"/>
  <c r="Q24" i="4" s="1"/>
  <c r="Y24" i="4" s="1"/>
  <c r="AC24" i="4"/>
  <c r="AE24" i="4" s="1"/>
  <c r="AF24" i="4" s="1"/>
  <c r="U60" i="13"/>
  <c r="R60" i="13"/>
  <c r="S60" i="13"/>
  <c r="T60" i="13" s="1"/>
  <c r="N60" i="13"/>
  <c r="AC46" i="4"/>
  <c r="AE46" i="4" s="1"/>
  <c r="AF46" i="4" s="1"/>
  <c r="N46" i="4"/>
  <c r="Q46" i="4" s="1"/>
  <c r="S46" i="4"/>
  <c r="AC114" i="4"/>
  <c r="AE114" i="4" s="1"/>
  <c r="AF114" i="4" s="1"/>
  <c r="S114" i="4"/>
  <c r="N114" i="4"/>
  <c r="Q114" i="4" s="1"/>
  <c r="U158" i="13"/>
  <c r="S158" i="13"/>
  <c r="T158" i="13" s="1"/>
  <c r="R158" i="13"/>
  <c r="N158" i="13"/>
  <c r="U35" i="13"/>
  <c r="S35" i="13"/>
  <c r="T35" i="13" s="1"/>
  <c r="N35" i="13"/>
  <c r="R35" i="13"/>
  <c r="S161" i="13"/>
  <c r="T161" i="13" s="1"/>
  <c r="U161" i="13"/>
  <c r="N161" i="13"/>
  <c r="N119" i="4"/>
  <c r="Q119" i="4" s="1"/>
  <c r="Y119" i="4" s="1"/>
  <c r="S119" i="4"/>
  <c r="AC119" i="4"/>
  <c r="AE119" i="4" s="1"/>
  <c r="AF119" i="4" s="1"/>
  <c r="S108" i="4"/>
  <c r="AC108" i="4"/>
  <c r="AE108" i="4" s="1"/>
  <c r="AF108" i="4" s="1"/>
  <c r="N108" i="4"/>
  <c r="Q108" i="4" s="1"/>
  <c r="Y108" i="4" s="1"/>
  <c r="U122" i="13"/>
  <c r="N122" i="13"/>
  <c r="R122" i="13"/>
  <c r="S122" i="13"/>
  <c r="T122" i="13" s="1"/>
  <c r="U133" i="13"/>
  <c r="S133" i="13"/>
  <c r="T133" i="13" s="1"/>
  <c r="R133" i="13"/>
  <c r="N133" i="13"/>
  <c r="AC149" i="4"/>
  <c r="AE149" i="4" s="1"/>
  <c r="AF149" i="4" s="1"/>
  <c r="S149" i="4"/>
  <c r="N149" i="4"/>
  <c r="Q149" i="4" s="1"/>
  <c r="Y149" i="4" s="1"/>
  <c r="U111" i="13"/>
  <c r="N111" i="13"/>
  <c r="S111" i="13"/>
  <c r="T111" i="13" s="1"/>
  <c r="R111" i="13"/>
  <c r="S168" i="13"/>
  <c r="T168" i="13" s="1"/>
  <c r="R168" i="13"/>
  <c r="N168" i="13"/>
  <c r="U168" i="13"/>
  <c r="S123" i="4"/>
  <c r="AC123" i="4"/>
  <c r="AE123" i="4" s="1"/>
  <c r="AF123" i="4" s="1"/>
  <c r="N123" i="4"/>
  <c r="Q123" i="4" s="1"/>
  <c r="Y123" i="4" s="1"/>
  <c r="N95" i="4"/>
  <c r="Q95" i="4" s="1"/>
  <c r="Y95" i="4" s="1"/>
  <c r="S95" i="4"/>
  <c r="AC95" i="4"/>
  <c r="AE95" i="4" s="1"/>
  <c r="AF95" i="4" s="1"/>
  <c r="L4" i="4"/>
  <c r="AC151" i="4"/>
  <c r="AE151" i="4" s="1"/>
  <c r="AF151" i="4" s="1"/>
  <c r="N151" i="4"/>
  <c r="Q151" i="4" s="1"/>
  <c r="Y151" i="4" s="1"/>
  <c r="S151" i="4"/>
  <c r="U112" i="13"/>
  <c r="N112" i="13"/>
  <c r="S112" i="13"/>
  <c r="T112" i="13" s="1"/>
  <c r="R112" i="13"/>
  <c r="S116" i="4"/>
  <c r="N116" i="4"/>
  <c r="Q116" i="4" s="1"/>
  <c r="AC116" i="4"/>
  <c r="AE116" i="4" s="1"/>
  <c r="AF116" i="4" s="1"/>
  <c r="AC18" i="4"/>
  <c r="AE18" i="4" s="1"/>
  <c r="AF18" i="4" s="1"/>
  <c r="N18" i="4"/>
  <c r="Q18" i="4" s="1"/>
  <c r="Y18" i="4" s="1"/>
  <c r="S18" i="4"/>
  <c r="S35" i="4"/>
  <c r="AC35" i="4"/>
  <c r="AE35" i="4" s="1"/>
  <c r="AF35" i="4" s="1"/>
  <c r="N35" i="4"/>
  <c r="Q35" i="4" s="1"/>
  <c r="Y35" i="4" s="1"/>
  <c r="U136" i="13"/>
  <c r="S136" i="13"/>
  <c r="T136" i="13" s="1"/>
  <c r="R136" i="13"/>
  <c r="N136" i="13"/>
  <c r="U30" i="13"/>
  <c r="R30" i="13"/>
  <c r="S30" i="13"/>
  <c r="T30" i="13" s="1"/>
  <c r="N30" i="13"/>
  <c r="N109" i="4"/>
  <c r="Q109" i="4" s="1"/>
  <c r="Y109" i="4" s="1"/>
  <c r="S109" i="4"/>
  <c r="AC109" i="4"/>
  <c r="AE109" i="4" s="1"/>
  <c r="AF109" i="4" s="1"/>
  <c r="U148" i="13"/>
  <c r="S148" i="13"/>
  <c r="T148" i="13" s="1"/>
  <c r="N148" i="13"/>
  <c r="R148" i="13"/>
  <c r="R87" i="13"/>
  <c r="U87" i="13"/>
  <c r="S87" i="13"/>
  <c r="T87" i="13" s="1"/>
  <c r="N87" i="13"/>
  <c r="R80" i="13"/>
  <c r="U80" i="13"/>
  <c r="S80" i="13"/>
  <c r="N80" i="13"/>
  <c r="AC14" i="4"/>
  <c r="AE14" i="4" s="1"/>
  <c r="AF14" i="4" s="1"/>
  <c r="S14" i="4"/>
  <c r="N14" i="4"/>
  <c r="Q14" i="4" s="1"/>
  <c r="Y14" i="4" s="1"/>
  <c r="U85" i="13"/>
  <c r="S85" i="13"/>
  <c r="T85" i="13" s="1"/>
  <c r="N85" i="13"/>
  <c r="R85" i="13"/>
  <c r="U91" i="13"/>
  <c r="S91" i="13"/>
  <c r="T91" i="13" s="1"/>
  <c r="N91" i="13"/>
  <c r="R91" i="13"/>
  <c r="S148" i="4"/>
  <c r="N148" i="4"/>
  <c r="Q148" i="4" s="1"/>
  <c r="Y148" i="4" s="1"/>
  <c r="AC148" i="4"/>
  <c r="AE148" i="4" s="1"/>
  <c r="AF148" i="4" s="1"/>
  <c r="U18" i="13"/>
  <c r="R18" i="13"/>
  <c r="N18" i="13"/>
  <c r="S18" i="13"/>
  <c r="T18" i="13" s="1"/>
  <c r="AD49" i="4"/>
  <c r="AG49" i="4" s="1"/>
  <c r="AH49" i="4" s="1"/>
  <c r="U49" i="4"/>
  <c r="V49" i="4"/>
  <c r="N61" i="4"/>
  <c r="Q61" i="4" s="1"/>
  <c r="S61" i="4"/>
  <c r="AC61" i="4"/>
  <c r="AE61" i="4" s="1"/>
  <c r="AF61" i="4" s="1"/>
  <c r="S100" i="4"/>
  <c r="AC100" i="4"/>
  <c r="AE100" i="4" s="1"/>
  <c r="AF100" i="4" s="1"/>
  <c r="N100" i="4"/>
  <c r="Q100" i="4" s="1"/>
  <c r="N171" i="13"/>
  <c r="R171" i="13"/>
  <c r="S171" i="13"/>
  <c r="T171" i="13" s="1"/>
  <c r="U171" i="13"/>
  <c r="U128" i="13"/>
  <c r="N128" i="13"/>
  <c r="R128" i="13"/>
  <c r="S128" i="13"/>
  <c r="T128" i="13" s="1"/>
  <c r="S120" i="4"/>
  <c r="AC120" i="4"/>
  <c r="AE120" i="4" s="1"/>
  <c r="AF120" i="4" s="1"/>
  <c r="N120" i="4"/>
  <c r="Q120" i="4" s="1"/>
  <c r="Y120" i="4" s="1"/>
  <c r="S142" i="4"/>
  <c r="AC142" i="4"/>
  <c r="AE142" i="4" s="1"/>
  <c r="AF142" i="4" s="1"/>
  <c r="N142" i="4"/>
  <c r="Q142" i="4" s="1"/>
  <c r="Y142" i="4" s="1"/>
  <c r="S66" i="4"/>
  <c r="N66" i="4"/>
  <c r="Q66" i="4" s="1"/>
  <c r="Y66" i="4" s="1"/>
  <c r="AC66" i="4"/>
  <c r="AE66" i="4" s="1"/>
  <c r="AF66" i="4" s="1"/>
  <c r="AC96" i="4"/>
  <c r="AE96" i="4" s="1"/>
  <c r="AF96" i="4" s="1"/>
  <c r="N96" i="4"/>
  <c r="Q96" i="4" s="1"/>
  <c r="S96" i="4"/>
  <c r="N60" i="4"/>
  <c r="Q60" i="4" s="1"/>
  <c r="Y60" i="4" s="1"/>
  <c r="AC60" i="4"/>
  <c r="AE60" i="4" s="1"/>
  <c r="AF60" i="4" s="1"/>
  <c r="S60" i="4"/>
  <c r="AC3" i="4"/>
  <c r="AE3" i="4" s="1"/>
  <c r="AF3" i="4" s="1"/>
  <c r="S3" i="4"/>
  <c r="N3" i="4"/>
  <c r="Q3" i="4" s="1"/>
  <c r="Y3" i="4" s="1"/>
  <c r="U83" i="13"/>
  <c r="S83" i="13"/>
  <c r="T83" i="13" s="1"/>
  <c r="R83" i="13"/>
  <c r="N83" i="13"/>
  <c r="AC167" i="4"/>
  <c r="AE167" i="4" s="1"/>
  <c r="AF167" i="4" s="1"/>
  <c r="S167" i="4"/>
  <c r="N167" i="4"/>
  <c r="Q167" i="4" s="1"/>
  <c r="Y167" i="4" s="1"/>
  <c r="S160" i="4"/>
  <c r="N160" i="4"/>
  <c r="Q160" i="4" s="1"/>
  <c r="Y160" i="4" s="1"/>
  <c r="AC160" i="4"/>
  <c r="AE160" i="4" s="1"/>
  <c r="AF160" i="4" s="1"/>
  <c r="U138" i="13"/>
  <c r="S138" i="13"/>
  <c r="T138" i="13" s="1"/>
  <c r="N138" i="13"/>
  <c r="R138" i="13"/>
  <c r="U107" i="13"/>
  <c r="N107" i="13"/>
  <c r="R107" i="13"/>
  <c r="S107" i="13"/>
  <c r="T107" i="13" s="1"/>
  <c r="U106" i="13"/>
  <c r="S106" i="13"/>
  <c r="T106" i="13" s="1"/>
  <c r="R106" i="13"/>
  <c r="N106" i="13"/>
  <c r="AC169" i="4"/>
  <c r="AE169" i="4" s="1"/>
  <c r="AF169" i="4" s="1"/>
  <c r="N169" i="4"/>
  <c r="Q169" i="4" s="1"/>
  <c r="S169" i="4"/>
  <c r="R27" i="13"/>
  <c r="N27" i="13"/>
  <c r="U27" i="13"/>
  <c r="S27" i="13"/>
  <c r="T27" i="13" s="1"/>
  <c r="R150" i="13"/>
  <c r="U150" i="13"/>
  <c r="N150" i="13"/>
  <c r="S150" i="13"/>
  <c r="T150" i="13" s="1"/>
  <c r="U28" i="13"/>
  <c r="S28" i="13"/>
  <c r="T28" i="13" s="1"/>
  <c r="N28" i="13"/>
  <c r="R28" i="13"/>
  <c r="S10" i="4"/>
  <c r="N10" i="4"/>
  <c r="Q10" i="4" s="1"/>
  <c r="AC10" i="4"/>
  <c r="AE10" i="4" s="1"/>
  <c r="AF10" i="4" s="1"/>
  <c r="AC81" i="4"/>
  <c r="AE81" i="4" s="1"/>
  <c r="AF81" i="4" s="1"/>
  <c r="N81" i="4"/>
  <c r="Q81" i="4" s="1"/>
  <c r="Y81" i="4" s="1"/>
  <c r="S81" i="4"/>
  <c r="S70" i="4"/>
  <c r="AC70" i="4"/>
  <c r="AE70" i="4" s="1"/>
  <c r="AF70" i="4" s="1"/>
  <c r="N70" i="4"/>
  <c r="Q70" i="4" s="1"/>
  <c r="Y70" i="4" s="1"/>
  <c r="N72" i="4"/>
  <c r="Q72" i="4" s="1"/>
  <c r="Y72" i="4" s="1"/>
  <c r="AC72" i="4"/>
  <c r="AE72" i="4" s="1"/>
  <c r="AF72" i="4" s="1"/>
  <c r="S72" i="4"/>
  <c r="U48" i="13"/>
  <c r="S48" i="13"/>
  <c r="T48" i="13" s="1"/>
  <c r="N48" i="13"/>
  <c r="R48" i="13"/>
  <c r="S155" i="4"/>
  <c r="N155" i="4"/>
  <c r="Q155" i="4" s="1"/>
  <c r="Y155" i="4" s="1"/>
  <c r="AC155" i="4"/>
  <c r="AE155" i="4" s="1"/>
  <c r="AF155" i="4" s="1"/>
  <c r="AC127" i="4"/>
  <c r="AE127" i="4" s="1"/>
  <c r="AF127" i="4" s="1"/>
  <c r="N127" i="4"/>
  <c r="Q127" i="4" s="1"/>
  <c r="Y127" i="4" s="1"/>
  <c r="S127" i="4"/>
  <c r="U119" i="13"/>
  <c r="N119" i="13"/>
  <c r="R119" i="13"/>
  <c r="S119" i="13"/>
  <c r="T119" i="13" s="1"/>
  <c r="U109" i="13"/>
  <c r="R109" i="13"/>
  <c r="S109" i="13"/>
  <c r="T109" i="13" s="1"/>
  <c r="N109" i="13"/>
  <c r="U175" i="13"/>
  <c r="S175" i="13"/>
  <c r="T175" i="13" s="1"/>
  <c r="N175" i="13"/>
  <c r="R175" i="13"/>
  <c r="S85" i="4"/>
  <c r="AC85" i="4"/>
  <c r="AE85" i="4" s="1"/>
  <c r="AF85" i="4" s="1"/>
  <c r="U114" i="13"/>
  <c r="S114" i="13"/>
  <c r="T114" i="13" s="1"/>
  <c r="N114" i="13"/>
  <c r="R114" i="13"/>
  <c r="R121" i="13"/>
  <c r="U121" i="13"/>
  <c r="N121" i="13"/>
  <c r="S121" i="13"/>
  <c r="T121" i="13" s="1"/>
  <c r="U71" i="13"/>
  <c r="N71" i="13"/>
  <c r="S71" i="13"/>
  <c r="T71" i="13" s="1"/>
  <c r="R71" i="13"/>
  <c r="U156" i="13"/>
  <c r="S156" i="13"/>
  <c r="T156" i="13" s="1"/>
  <c r="N156" i="13"/>
  <c r="R156" i="13"/>
  <c r="S43" i="4"/>
  <c r="N43" i="4"/>
  <c r="Q43" i="4" s="1"/>
  <c r="Y43" i="4" s="1"/>
  <c r="AC43" i="4"/>
  <c r="AE43" i="4" s="1"/>
  <c r="AF43" i="4" s="1"/>
  <c r="U67" i="13"/>
  <c r="S67" i="13"/>
  <c r="T67" i="13" s="1"/>
  <c r="N67" i="13"/>
  <c r="R67" i="13"/>
  <c r="U154" i="13"/>
  <c r="R154" i="13"/>
  <c r="S154" i="13"/>
  <c r="T154" i="13" s="1"/>
  <c r="N154" i="13"/>
  <c r="U160" i="13"/>
  <c r="S160" i="13"/>
  <c r="T160" i="13" s="1"/>
  <c r="N160" i="13"/>
  <c r="R160" i="13"/>
  <c r="U174" i="13"/>
  <c r="S174" i="13"/>
  <c r="T174" i="13" s="1"/>
  <c r="N174" i="13"/>
  <c r="R174" i="13"/>
  <c r="U29" i="13"/>
  <c r="S29" i="13"/>
  <c r="T29" i="13" s="1"/>
  <c r="N29" i="13"/>
  <c r="R29" i="13"/>
  <c r="U153" i="13"/>
  <c r="R153" i="13"/>
  <c r="N153" i="13"/>
  <c r="S153" i="13"/>
  <c r="T153" i="13" s="1"/>
  <c r="U44" i="13"/>
  <c r="S44" i="13"/>
  <c r="T44" i="13" s="1"/>
  <c r="N44" i="13"/>
  <c r="R44" i="13"/>
  <c r="R98" i="13"/>
  <c r="U70" i="13"/>
  <c r="N70" i="13"/>
  <c r="R70" i="13"/>
  <c r="S70" i="13"/>
  <c r="T70" i="13" s="1"/>
  <c r="S135" i="4"/>
  <c r="AC135" i="4"/>
  <c r="AE135" i="4" s="1"/>
  <c r="AF135" i="4" s="1"/>
  <c r="N69" i="4"/>
  <c r="Q69" i="4" s="1"/>
  <c r="Y69" i="4" s="1"/>
  <c r="S69" i="4"/>
  <c r="AC69" i="4"/>
  <c r="AE69" i="4" s="1"/>
  <c r="AF69" i="4" s="1"/>
  <c r="AC34" i="4"/>
  <c r="AE34" i="4" s="1"/>
  <c r="AF34" i="4" s="1"/>
  <c r="S34" i="4"/>
  <c r="N34" i="4"/>
  <c r="Q34" i="4" s="1"/>
  <c r="U46" i="13"/>
  <c r="N46" i="13"/>
  <c r="R46" i="13"/>
  <c r="S46" i="13"/>
  <c r="T46" i="13" s="1"/>
  <c r="N55" i="4"/>
  <c r="Q55" i="4" s="1"/>
  <c r="Y55" i="4" s="1"/>
  <c r="S55" i="4"/>
  <c r="AC55" i="4"/>
  <c r="AE55" i="4" s="1"/>
  <c r="AF55" i="4" s="1"/>
  <c r="U131" i="13"/>
  <c r="S131" i="13"/>
  <c r="T131" i="13" s="1"/>
  <c r="R131" i="13"/>
  <c r="N131" i="13"/>
  <c r="U104" i="13"/>
  <c r="R104" i="13"/>
  <c r="N104" i="13"/>
  <c r="S104" i="13"/>
  <c r="T104" i="13" s="1"/>
  <c r="U25" i="13"/>
  <c r="R25" i="13"/>
  <c r="S25" i="13"/>
  <c r="T25" i="13" s="1"/>
  <c r="N25" i="13"/>
  <c r="U66" i="13"/>
  <c r="R66" i="13"/>
  <c r="N66" i="13"/>
  <c r="S66" i="13"/>
  <c r="T66" i="13" s="1"/>
  <c r="U155" i="13"/>
  <c r="R155" i="13"/>
  <c r="N155" i="13"/>
  <c r="S155" i="13"/>
  <c r="T155" i="13" s="1"/>
  <c r="N154" i="4"/>
  <c r="Q154" i="4" s="1"/>
  <c r="Y154" i="4" s="1"/>
  <c r="S154" i="4"/>
  <c r="AC154" i="4"/>
  <c r="AE154" i="4" s="1"/>
  <c r="AF154" i="4" s="1"/>
  <c r="U21" i="13"/>
  <c r="S21" i="13"/>
  <c r="T21" i="13" s="1"/>
  <c r="R21" i="13"/>
  <c r="N21" i="13"/>
  <c r="S41" i="4"/>
  <c r="AC41" i="4"/>
  <c r="AE41" i="4" s="1"/>
  <c r="AF41" i="4" s="1"/>
  <c r="N41" i="4"/>
  <c r="Q41" i="4" s="1"/>
  <c r="Y41" i="4" s="1"/>
  <c r="S52" i="4"/>
  <c r="N52" i="4"/>
  <c r="Q52" i="4" s="1"/>
  <c r="Y52" i="4" s="1"/>
  <c r="AC52" i="4"/>
  <c r="AE52" i="4" s="1"/>
  <c r="AF52" i="4" s="1"/>
  <c r="U53" i="13"/>
  <c r="R53" i="13"/>
  <c r="S53" i="13"/>
  <c r="T53" i="13" s="1"/>
  <c r="N53" i="13"/>
  <c r="U164" i="13"/>
  <c r="S164" i="13"/>
  <c r="T164" i="13" s="1"/>
  <c r="U19" i="13"/>
  <c r="N19" i="13"/>
  <c r="S19" i="13"/>
  <c r="T19" i="13" s="1"/>
  <c r="R19" i="13"/>
  <c r="U49" i="13"/>
  <c r="S49" i="13"/>
  <c r="T49" i="13" s="1"/>
  <c r="R49" i="13"/>
  <c r="N49" i="13"/>
  <c r="N152" i="13"/>
  <c r="U152" i="13"/>
  <c r="S152" i="13"/>
  <c r="T152" i="13" s="1"/>
  <c r="R152" i="13"/>
  <c r="N133" i="4"/>
  <c r="Q133" i="4" s="1"/>
  <c r="Y133" i="4" s="1"/>
  <c r="S133" i="4"/>
  <c r="AC133" i="4"/>
  <c r="AE133" i="4" s="1"/>
  <c r="AF133" i="4" s="1"/>
  <c r="S162" i="4"/>
  <c r="N162" i="4"/>
  <c r="Q162" i="4" s="1"/>
  <c r="Y162" i="4" s="1"/>
  <c r="AC162" i="4"/>
  <c r="AE162" i="4" s="1"/>
  <c r="AF162" i="4" s="1"/>
  <c r="S166" i="4"/>
  <c r="AC166" i="4"/>
  <c r="AE166" i="4" s="1"/>
  <c r="AF166" i="4" s="1"/>
  <c r="N166" i="4"/>
  <c r="Q166" i="4" s="1"/>
  <c r="N13" i="13"/>
  <c r="U13" i="13"/>
  <c r="S13" i="13"/>
  <c r="T13" i="13" s="1"/>
  <c r="R13" i="13"/>
  <c r="AC13" i="4"/>
  <c r="AE13" i="4" s="1"/>
  <c r="AF13" i="4" s="1"/>
  <c r="N13" i="4"/>
  <c r="Q13" i="4" s="1"/>
  <c r="S13" i="4"/>
  <c r="U130" i="13"/>
  <c r="N130" i="13"/>
  <c r="S130" i="13"/>
  <c r="T130" i="13" s="1"/>
  <c r="R130" i="13"/>
  <c r="N117" i="4"/>
  <c r="Q117" i="4" s="1"/>
  <c r="Y117" i="4" s="1"/>
  <c r="AC117" i="4"/>
  <c r="AE117" i="4" s="1"/>
  <c r="AF117" i="4" s="1"/>
  <c r="S117" i="4"/>
  <c r="U98" i="13" l="1"/>
  <c r="N26" i="4"/>
  <c r="Q26" i="4" s="1"/>
  <c r="Y26" i="4" s="1"/>
  <c r="S28" i="4"/>
  <c r="N98" i="13"/>
  <c r="N143" i="13"/>
  <c r="N75" i="4"/>
  <c r="Q75" i="4" s="1"/>
  <c r="U75" i="4" s="1"/>
  <c r="N86" i="13"/>
  <c r="S91" i="4"/>
  <c r="W91" i="4" s="1"/>
  <c r="U100" i="13"/>
  <c r="AC28" i="4"/>
  <c r="AE28" i="4" s="1"/>
  <c r="AF28" i="4" s="1"/>
  <c r="R129" i="13"/>
  <c r="N149" i="13"/>
  <c r="N153" i="4"/>
  <c r="Q153" i="4" s="1"/>
  <c r="Y153" i="4" s="1"/>
  <c r="Z153" i="4" s="1"/>
  <c r="N151" i="13"/>
  <c r="S113" i="4"/>
  <c r="N86" i="4"/>
  <c r="Q86" i="4" s="1"/>
  <c r="Y86" i="4" s="1"/>
  <c r="Z86" i="4" s="1"/>
  <c r="N102" i="4"/>
  <c r="Q102" i="4" s="1"/>
  <c r="V102" i="4" s="1"/>
  <c r="S102" i="4"/>
  <c r="T102" i="4" s="1"/>
  <c r="R58" i="13"/>
  <c r="R93" i="13"/>
  <c r="AC113" i="4"/>
  <c r="AE113" i="4" s="1"/>
  <c r="AF113" i="4" s="1"/>
  <c r="S86" i="4"/>
  <c r="W86" i="4" s="1"/>
  <c r="N93" i="13"/>
  <c r="U129" i="13"/>
  <c r="N32" i="4"/>
  <c r="Q32" i="4" s="1"/>
  <c r="V32" i="4" s="1"/>
  <c r="R41" i="13"/>
  <c r="S94" i="13"/>
  <c r="T94" i="13" s="1"/>
  <c r="S129" i="13"/>
  <c r="T129" i="13" s="1"/>
  <c r="N81" i="13"/>
  <c r="S149" i="13"/>
  <c r="T149" i="13" s="1"/>
  <c r="N100" i="13"/>
  <c r="S153" i="4"/>
  <c r="T153" i="4" s="1"/>
  <c r="N41" i="13"/>
  <c r="U86" i="13"/>
  <c r="U94" i="13"/>
  <c r="S81" i="13"/>
  <c r="T81" i="13" s="1"/>
  <c r="U81" i="13"/>
  <c r="U149" i="13"/>
  <c r="N91" i="4"/>
  <c r="Q91" i="4" s="1"/>
  <c r="Y91" i="4" s="1"/>
  <c r="Z91" i="4" s="1"/>
  <c r="S100" i="13"/>
  <c r="T100" i="13" s="1"/>
  <c r="AC32" i="4"/>
  <c r="AE32" i="4" s="1"/>
  <c r="AF32" i="4" s="1"/>
  <c r="S41" i="13"/>
  <c r="T41" i="13" s="1"/>
  <c r="S86" i="13"/>
  <c r="T86" i="13" s="1"/>
  <c r="N94" i="13"/>
  <c r="S93" i="13"/>
  <c r="T93" i="13" s="1"/>
  <c r="S75" i="4"/>
  <c r="T75" i="4" s="1"/>
  <c r="S84" i="4"/>
  <c r="W84" i="4" s="1"/>
  <c r="AC40" i="4"/>
  <c r="AE40" i="4" s="1"/>
  <c r="AF40" i="4" s="1"/>
  <c r="W40" i="4"/>
  <c r="N84" i="4"/>
  <c r="Q84" i="4" s="1"/>
  <c r="V84" i="4" s="1"/>
  <c r="N40" i="4"/>
  <c r="Q40" i="4" s="1"/>
  <c r="U40" i="4" s="1"/>
  <c r="N147" i="4"/>
  <c r="Q147" i="4" s="1"/>
  <c r="AD147" i="4" s="1"/>
  <c r="AG147" i="4" s="1"/>
  <c r="AH147" i="4" s="1"/>
  <c r="S147" i="4"/>
  <c r="W147" i="4" s="1"/>
  <c r="N58" i="13"/>
  <c r="N68" i="13"/>
  <c r="S151" i="13"/>
  <c r="T151" i="13" s="1"/>
  <c r="S58" i="13"/>
  <c r="T58" i="13" s="1"/>
  <c r="U173" i="13"/>
  <c r="R151" i="13"/>
  <c r="S140" i="13"/>
  <c r="T140" i="13" s="1"/>
  <c r="N165" i="13"/>
  <c r="R23" i="13"/>
  <c r="AC7" i="4"/>
  <c r="AE7" i="4" s="1"/>
  <c r="AF7" i="4" s="1"/>
  <c r="N56" i="13"/>
  <c r="S102" i="13"/>
  <c r="T102" i="13" s="1"/>
  <c r="AC23" i="4"/>
  <c r="AE23" i="4" s="1"/>
  <c r="AF23" i="4" s="1"/>
  <c r="R170" i="13"/>
  <c r="N58" i="4"/>
  <c r="Q58" i="4" s="1"/>
  <c r="Y58" i="4" s="1"/>
  <c r="AA58" i="4" s="1"/>
  <c r="S173" i="4"/>
  <c r="W173" i="4" s="1"/>
  <c r="AC68" i="4"/>
  <c r="AE68" i="4" s="1"/>
  <c r="AF68" i="4" s="1"/>
  <c r="N79" i="4"/>
  <c r="Q79" i="4" s="1"/>
  <c r="Y79" i="4" s="1"/>
  <c r="Z79" i="4" s="1"/>
  <c r="N47" i="4"/>
  <c r="Q47" i="4" s="1"/>
  <c r="AD47" i="4" s="1"/>
  <c r="AG47" i="4" s="1"/>
  <c r="AH47" i="4" s="1"/>
  <c r="R56" i="13"/>
  <c r="U165" i="13"/>
  <c r="N76" i="4"/>
  <c r="Q76" i="4" s="1"/>
  <c r="V76" i="4" s="1"/>
  <c r="AC11" i="4"/>
  <c r="AE11" i="4" s="1"/>
  <c r="AF11" i="4" s="1"/>
  <c r="AC79" i="4"/>
  <c r="AE79" i="4" s="1"/>
  <c r="AF79" i="4" s="1"/>
  <c r="S23" i="4"/>
  <c r="T23" i="4" s="1"/>
  <c r="S64" i="4"/>
  <c r="T64" i="4" s="1"/>
  <c r="S58" i="4"/>
  <c r="T58" i="4" s="1"/>
  <c r="AC173" i="4"/>
  <c r="AE173" i="4" s="1"/>
  <c r="AF173" i="4" s="1"/>
  <c r="N170" i="13"/>
  <c r="S56" i="13"/>
  <c r="T56" i="13" s="1"/>
  <c r="S124" i="4"/>
  <c r="T124" i="4" s="1"/>
  <c r="S68" i="4"/>
  <c r="W68" i="4" s="1"/>
  <c r="N11" i="4"/>
  <c r="Q11" i="4" s="1"/>
  <c r="Y11" i="4" s="1"/>
  <c r="Z11" i="4" s="1"/>
  <c r="S42" i="13"/>
  <c r="T42" i="13" s="1"/>
  <c r="S47" i="4"/>
  <c r="T47" i="4" s="1"/>
  <c r="S170" i="13"/>
  <c r="T170" i="13" s="1"/>
  <c r="N71" i="4"/>
  <c r="Q71" i="4" s="1"/>
  <c r="V71" i="4" s="1"/>
  <c r="N17" i="4"/>
  <c r="Q17" i="4" s="1"/>
  <c r="Y17" i="4" s="1"/>
  <c r="Z17" i="4" s="1"/>
  <c r="S44" i="4"/>
  <c r="T44" i="4" s="1"/>
  <c r="AC38" i="4"/>
  <c r="AE38" i="4" s="1"/>
  <c r="AF38" i="4" s="1"/>
  <c r="N165" i="4"/>
  <c r="Q165" i="4" s="1"/>
  <c r="Y165" i="4" s="1"/>
  <c r="Z165" i="4" s="1"/>
  <c r="R108" i="13"/>
  <c r="S89" i="13"/>
  <c r="T89" i="13" s="1"/>
  <c r="S90" i="13"/>
  <c r="T90" i="13" s="1"/>
  <c r="AC165" i="4"/>
  <c r="AE165" i="4" s="1"/>
  <c r="AF165" i="4" s="1"/>
  <c r="U108" i="13"/>
  <c r="U90" i="13"/>
  <c r="S78" i="4"/>
  <c r="T78" i="4" s="1"/>
  <c r="AC77" i="4"/>
  <c r="AE77" i="4" s="1"/>
  <c r="AF77" i="4" s="1"/>
  <c r="S83" i="4"/>
  <c r="W83" i="4" s="1"/>
  <c r="U89" i="13"/>
  <c r="N78" i="4"/>
  <c r="Q78" i="4" s="1"/>
  <c r="Y78" i="4" s="1"/>
  <c r="AA78" i="4" s="1"/>
  <c r="N77" i="4"/>
  <c r="Q77" i="4" s="1"/>
  <c r="Y77" i="4" s="1"/>
  <c r="Z77" i="4" s="1"/>
  <c r="AC83" i="4"/>
  <c r="AE83" i="4" s="1"/>
  <c r="AF83" i="4" s="1"/>
  <c r="N89" i="13"/>
  <c r="N108" i="13"/>
  <c r="N90" i="13"/>
  <c r="R167" i="13"/>
  <c r="S38" i="4"/>
  <c r="T38" i="4" s="1"/>
  <c r="U55" i="13"/>
  <c r="U113" i="13"/>
  <c r="S166" i="13"/>
  <c r="T166" i="13" s="1"/>
  <c r="S65" i="4"/>
  <c r="W65" i="4" s="1"/>
  <c r="S141" i="4"/>
  <c r="T141" i="4" s="1"/>
  <c r="N7" i="4"/>
  <c r="Q7" i="4" s="1"/>
  <c r="Y7" i="4" s="1"/>
  <c r="Z7" i="4" s="1"/>
  <c r="N173" i="13"/>
  <c r="N65" i="4"/>
  <c r="Q65" i="4" s="1"/>
  <c r="Y65" i="4" s="1"/>
  <c r="AA65" i="4" s="1"/>
  <c r="N141" i="4"/>
  <c r="Q141" i="4" s="1"/>
  <c r="Y141" i="4" s="1"/>
  <c r="Z141" i="4" s="1"/>
  <c r="AC17" i="4"/>
  <c r="AE17" i="4" s="1"/>
  <c r="AF17" i="4" s="1"/>
  <c r="R173" i="13"/>
  <c r="R40" i="13"/>
  <c r="S141" i="13"/>
  <c r="T141" i="13" s="1"/>
  <c r="N158" i="4"/>
  <c r="Q158" i="4" s="1"/>
  <c r="Y158" i="4" s="1"/>
  <c r="AA158" i="4" s="1"/>
  <c r="S167" i="13"/>
  <c r="T167" i="13" s="1"/>
  <c r="R63" i="13"/>
  <c r="U167" i="13"/>
  <c r="N63" i="13"/>
  <c r="N145" i="13"/>
  <c r="N9" i="13"/>
  <c r="N12" i="13"/>
  <c r="S163" i="13"/>
  <c r="T163" i="13" s="1"/>
  <c r="S143" i="13"/>
  <c r="T143" i="13" s="1"/>
  <c r="U143" i="13"/>
  <c r="S53" i="4"/>
  <c r="W53" i="4" s="1"/>
  <c r="U163" i="13"/>
  <c r="R12" i="13"/>
  <c r="S9" i="13"/>
  <c r="T9" i="13" s="1"/>
  <c r="S12" i="13"/>
  <c r="T12" i="13" s="1"/>
  <c r="S63" i="13"/>
  <c r="T63" i="13" s="1"/>
  <c r="R9" i="13"/>
  <c r="AC53" i="4"/>
  <c r="AE53" i="4" s="1"/>
  <c r="AF53" i="4" s="1"/>
  <c r="AC39" i="4"/>
  <c r="AE39" i="4" s="1"/>
  <c r="AF39" i="4" s="1"/>
  <c r="R110" i="13"/>
  <c r="U54" i="13"/>
  <c r="S76" i="4"/>
  <c r="W76" i="4" s="1"/>
  <c r="R102" i="13"/>
  <c r="AC124" i="4"/>
  <c r="AE124" i="4" s="1"/>
  <c r="AF124" i="4" s="1"/>
  <c r="AC122" i="4"/>
  <c r="AE122" i="4" s="1"/>
  <c r="AF122" i="4" s="1"/>
  <c r="S125" i="13"/>
  <c r="T125" i="13" s="1"/>
  <c r="AC136" i="4"/>
  <c r="AE136" i="4" s="1"/>
  <c r="AF136" i="4" s="1"/>
  <c r="N102" i="13"/>
  <c r="S103" i="4"/>
  <c r="T103" i="4" s="1"/>
  <c r="N159" i="4"/>
  <c r="Q159" i="4" s="1"/>
  <c r="Y159" i="4" s="1"/>
  <c r="AA159" i="4" s="1"/>
  <c r="N7" i="13"/>
  <c r="AC159" i="4"/>
  <c r="AE159" i="4" s="1"/>
  <c r="AF159" i="4" s="1"/>
  <c r="N77" i="13"/>
  <c r="N99" i="4"/>
  <c r="Q99" i="4" s="1"/>
  <c r="Y99" i="4" s="1"/>
  <c r="Z99" i="4" s="1"/>
  <c r="S39" i="13"/>
  <c r="T39" i="13" s="1"/>
  <c r="S107" i="4"/>
  <c r="W107" i="4" s="1"/>
  <c r="AC54" i="4"/>
  <c r="AE54" i="4" s="1"/>
  <c r="AF54" i="4" s="1"/>
  <c r="AC57" i="4"/>
  <c r="AE57" i="4" s="1"/>
  <c r="AF57" i="4" s="1"/>
  <c r="U139" i="13"/>
  <c r="S54" i="4"/>
  <c r="W54" i="4" s="1"/>
  <c r="N139" i="13"/>
  <c r="N45" i="4"/>
  <c r="Q45" i="4" s="1"/>
  <c r="Y45" i="4" s="1"/>
  <c r="AA45" i="4" s="1"/>
  <c r="S88" i="13"/>
  <c r="T88" i="13" s="1"/>
  <c r="AC107" i="4"/>
  <c r="AE107" i="4" s="1"/>
  <c r="AF107" i="4" s="1"/>
  <c r="N57" i="4"/>
  <c r="Q57" i="4" s="1"/>
  <c r="Y57" i="4" s="1"/>
  <c r="AA57" i="4" s="1"/>
  <c r="R139" i="13"/>
  <c r="S62" i="4"/>
  <c r="T62" i="4" s="1"/>
  <c r="S45" i="13"/>
  <c r="T45" i="13" s="1"/>
  <c r="N103" i="13"/>
  <c r="U51" i="13"/>
  <c r="R140" i="13"/>
  <c r="U7" i="13"/>
  <c r="U166" i="13"/>
  <c r="N29" i="4"/>
  <c r="Q29" i="4" s="1"/>
  <c r="U29" i="4" s="1"/>
  <c r="S68" i="13"/>
  <c r="T68" i="13" s="1"/>
  <c r="S23" i="13"/>
  <c r="T23" i="13" s="1"/>
  <c r="S30" i="4"/>
  <c r="T30" i="4" s="1"/>
  <c r="S40" i="13"/>
  <c r="T40" i="13" s="1"/>
  <c r="R145" i="13"/>
  <c r="N139" i="4"/>
  <c r="Q139" i="4" s="1"/>
  <c r="AD139" i="4" s="1"/>
  <c r="AG139" i="4" s="1"/>
  <c r="AH139" i="4" s="1"/>
  <c r="U140" i="13"/>
  <c r="S7" i="13"/>
  <c r="T7" i="13" s="1"/>
  <c r="N175" i="4"/>
  <c r="Q175" i="4" s="1"/>
  <c r="AD175" i="4" s="1"/>
  <c r="AG175" i="4" s="1"/>
  <c r="AH175" i="4" s="1"/>
  <c r="AC74" i="4"/>
  <c r="AE74" i="4" s="1"/>
  <c r="AF74" i="4" s="1"/>
  <c r="R166" i="13"/>
  <c r="S29" i="4"/>
  <c r="W29" i="4" s="1"/>
  <c r="U68" i="13"/>
  <c r="U23" i="13"/>
  <c r="N30" i="4"/>
  <c r="Q30" i="4" s="1"/>
  <c r="U30" i="4" s="1"/>
  <c r="AC44" i="4"/>
  <c r="AE44" i="4" s="1"/>
  <c r="AF44" i="4" s="1"/>
  <c r="S16" i="4"/>
  <c r="T16" i="4" s="1"/>
  <c r="U40" i="13"/>
  <c r="U101" i="13"/>
  <c r="S145" i="13"/>
  <c r="T145" i="13" s="1"/>
  <c r="AC139" i="4"/>
  <c r="AE139" i="4" s="1"/>
  <c r="AF139" i="4" s="1"/>
  <c r="N56" i="4"/>
  <c r="Q56" i="4" s="1"/>
  <c r="V56" i="4" s="1"/>
  <c r="N51" i="13"/>
  <c r="R65" i="13"/>
  <c r="R141" i="13"/>
  <c r="N141" i="13"/>
  <c r="AC121" i="4"/>
  <c r="AE121" i="4" s="1"/>
  <c r="AF121" i="4" s="1"/>
  <c r="N80" i="4"/>
  <c r="Q80" i="4" s="1"/>
  <c r="Y80" i="4" s="1"/>
  <c r="AA80" i="4" s="1"/>
  <c r="U73" i="13"/>
  <c r="R120" i="13"/>
  <c r="N132" i="13"/>
  <c r="N52" i="13"/>
  <c r="U57" i="13"/>
  <c r="Z19" i="4"/>
  <c r="R123" i="13"/>
  <c r="AC5" i="4"/>
  <c r="AE5" i="4" s="1"/>
  <c r="AF5" i="4" s="1"/>
  <c r="N36" i="4"/>
  <c r="Q36" i="4" s="1"/>
  <c r="Y36" i="4" s="1"/>
  <c r="Z36" i="4" s="1"/>
  <c r="N97" i="4"/>
  <c r="Q97" i="4" s="1"/>
  <c r="Y97" i="4" s="1"/>
  <c r="AA97" i="4" s="1"/>
  <c r="S105" i="13"/>
  <c r="T105" i="13" s="1"/>
  <c r="N169" i="13"/>
  <c r="S164" i="4"/>
  <c r="W164" i="4" s="1"/>
  <c r="U19" i="4"/>
  <c r="N14" i="13"/>
  <c r="S36" i="4"/>
  <c r="T36" i="4" s="1"/>
  <c r="R57" i="13"/>
  <c r="S157" i="4"/>
  <c r="W157" i="4" s="1"/>
  <c r="S20" i="13"/>
  <c r="T20" i="13" s="1"/>
  <c r="S62" i="13"/>
  <c r="T62" i="13" s="1"/>
  <c r="N73" i="13"/>
  <c r="AC12" i="4"/>
  <c r="AE12" i="4" s="1"/>
  <c r="AF12" i="4" s="1"/>
  <c r="S120" i="13"/>
  <c r="T120" i="13" s="1"/>
  <c r="AC82" i="4"/>
  <c r="AE82" i="4" s="1"/>
  <c r="AF82" i="4" s="1"/>
  <c r="AC138" i="4"/>
  <c r="AE138" i="4" s="1"/>
  <c r="AF138" i="4" s="1"/>
  <c r="S132" i="13"/>
  <c r="T132" i="13" s="1"/>
  <c r="S16" i="13"/>
  <c r="T16" i="13" s="1"/>
  <c r="U52" i="13"/>
  <c r="AC115" i="4"/>
  <c r="AE115" i="4" s="1"/>
  <c r="AF115" i="4" s="1"/>
  <c r="U77" i="13"/>
  <c r="S169" i="13"/>
  <c r="T169" i="13" s="1"/>
  <c r="S161" i="4"/>
  <c r="T161" i="4" s="1"/>
  <c r="AC50" i="4"/>
  <c r="AE50" i="4" s="1"/>
  <c r="AF50" i="4" s="1"/>
  <c r="AD19" i="4"/>
  <c r="AG19" i="4" s="1"/>
  <c r="AH19" i="4" s="1"/>
  <c r="R14" i="13"/>
  <c r="S57" i="13"/>
  <c r="T57" i="13" s="1"/>
  <c r="N20" i="13"/>
  <c r="U62" i="13"/>
  <c r="N34" i="13"/>
  <c r="N138" i="4"/>
  <c r="Q138" i="4" s="1"/>
  <c r="Y138" i="4" s="1"/>
  <c r="AA138" i="4" s="1"/>
  <c r="U132" i="13"/>
  <c r="R16" i="13"/>
  <c r="N115" i="4"/>
  <c r="Q115" i="4" s="1"/>
  <c r="Y115" i="4" s="1"/>
  <c r="AA115" i="4" s="1"/>
  <c r="R77" i="13"/>
  <c r="N161" i="4"/>
  <c r="Q161" i="4" s="1"/>
  <c r="Y161" i="4" s="1"/>
  <c r="S50" i="4"/>
  <c r="T50" i="4" s="1"/>
  <c r="N90" i="4"/>
  <c r="Q90" i="4" s="1"/>
  <c r="Y90" i="4" s="1"/>
  <c r="Z90" i="4" s="1"/>
  <c r="N121" i="4"/>
  <c r="Q121" i="4" s="1"/>
  <c r="Y121" i="4" s="1"/>
  <c r="T25" i="4"/>
  <c r="S171" i="4"/>
  <c r="W171" i="4" s="1"/>
  <c r="N8" i="13"/>
  <c r="U34" i="13"/>
  <c r="S97" i="4"/>
  <c r="T97" i="4" s="1"/>
  <c r="N123" i="13"/>
  <c r="N105" i="13"/>
  <c r="AC19" i="4"/>
  <c r="AE19" i="4" s="1"/>
  <c r="AF19" i="4" s="1"/>
  <c r="U5" i="13"/>
  <c r="R31" i="13"/>
  <c r="R169" i="13"/>
  <c r="S10" i="13"/>
  <c r="T10" i="13" s="1"/>
  <c r="N164" i="4"/>
  <c r="Q164" i="4" s="1"/>
  <c r="U164" i="4" s="1"/>
  <c r="S14" i="13"/>
  <c r="T14" i="13" s="1"/>
  <c r="AC90" i="4"/>
  <c r="AE90" i="4" s="1"/>
  <c r="AF90" i="4" s="1"/>
  <c r="R39" i="13"/>
  <c r="U20" i="13"/>
  <c r="R62" i="13"/>
  <c r="S80" i="4"/>
  <c r="W80" i="4" s="1"/>
  <c r="N99" i="13"/>
  <c r="U137" i="13"/>
  <c r="S73" i="13"/>
  <c r="T73" i="13" s="1"/>
  <c r="S12" i="4"/>
  <c r="T12" i="4" s="1"/>
  <c r="AC171" i="4"/>
  <c r="AE171" i="4" s="1"/>
  <c r="AF171" i="4" s="1"/>
  <c r="U120" i="13"/>
  <c r="S76" i="13"/>
  <c r="T76" i="13" s="1"/>
  <c r="R34" i="13"/>
  <c r="AC45" i="4"/>
  <c r="AE45" i="4" s="1"/>
  <c r="AF45" i="4" s="1"/>
  <c r="S82" i="4"/>
  <c r="T82" i="4" s="1"/>
  <c r="N16" i="13"/>
  <c r="S52" i="13"/>
  <c r="T52" i="13" s="1"/>
  <c r="S123" i="13"/>
  <c r="T123" i="13" s="1"/>
  <c r="U105" i="13"/>
  <c r="S19" i="4"/>
  <c r="T19" i="4" s="1"/>
  <c r="AC25" i="4"/>
  <c r="AE25" i="4" s="1"/>
  <c r="AF25" i="4" s="1"/>
  <c r="N172" i="4"/>
  <c r="Q172" i="4" s="1"/>
  <c r="AD172" i="4" s="1"/>
  <c r="AG172" i="4" s="1"/>
  <c r="AH172" i="4" s="1"/>
  <c r="U39" i="13"/>
  <c r="R4" i="13"/>
  <c r="V19" i="4"/>
  <c r="R124" i="13"/>
  <c r="N50" i="13"/>
  <c r="N115" i="13"/>
  <c r="N51" i="4"/>
  <c r="Q51" i="4" s="1"/>
  <c r="Y51" i="4" s="1"/>
  <c r="AA51" i="4" s="1"/>
  <c r="N69" i="13"/>
  <c r="S117" i="13"/>
  <c r="T117" i="13" s="1"/>
  <c r="N25" i="4"/>
  <c r="Q25" i="4" s="1"/>
  <c r="Y25" i="4" s="1"/>
  <c r="Z25" i="4" s="1"/>
  <c r="AC71" i="4"/>
  <c r="AE71" i="4" s="1"/>
  <c r="AF71" i="4" s="1"/>
  <c r="S135" i="13"/>
  <c r="T135" i="13" s="1"/>
  <c r="S17" i="13"/>
  <c r="T17" i="13" s="1"/>
  <c r="S110" i="13"/>
  <c r="T110" i="13" s="1"/>
  <c r="N135" i="13"/>
  <c r="U17" i="13"/>
  <c r="S54" i="13"/>
  <c r="T54" i="13" s="1"/>
  <c r="S132" i="4"/>
  <c r="W132" i="4" s="1"/>
  <c r="N55" i="13"/>
  <c r="S75" i="13"/>
  <c r="T75" i="13" s="1"/>
  <c r="N136" i="4"/>
  <c r="Q136" i="4" s="1"/>
  <c r="Y136" i="4" s="1"/>
  <c r="AA136" i="4" s="1"/>
  <c r="N67" i="4"/>
  <c r="Q67" i="4" s="1"/>
  <c r="V67" i="4" s="1"/>
  <c r="S122" i="4"/>
  <c r="T122" i="4" s="1"/>
  <c r="U162" i="13"/>
  <c r="S48" i="4"/>
  <c r="T48" i="4" s="1"/>
  <c r="R55" i="13"/>
  <c r="N103" i="4"/>
  <c r="Q103" i="4" s="1"/>
  <c r="V103" i="4" s="1"/>
  <c r="S6" i="13"/>
  <c r="T6" i="13" s="1"/>
  <c r="N128" i="4"/>
  <c r="Q128" i="4" s="1"/>
  <c r="Y128" i="4" s="1"/>
  <c r="AA128" i="4" s="1"/>
  <c r="U110" i="13"/>
  <c r="R135" i="13"/>
  <c r="N54" i="13"/>
  <c r="AC132" i="4"/>
  <c r="AE132" i="4" s="1"/>
  <c r="AF132" i="4" s="1"/>
  <c r="R75" i="13"/>
  <c r="AC59" i="4"/>
  <c r="AE59" i="4" s="1"/>
  <c r="AF59" i="4" s="1"/>
  <c r="N150" i="4"/>
  <c r="Q150" i="4" s="1"/>
  <c r="V150" i="4" s="1"/>
  <c r="AC168" i="4"/>
  <c r="AE168" i="4" s="1"/>
  <c r="AF168" i="4" s="1"/>
  <c r="U10" i="13"/>
  <c r="N45" i="13"/>
  <c r="N88" i="13"/>
  <c r="N89" i="4"/>
  <c r="Q89" i="4" s="1"/>
  <c r="Y89" i="4" s="1"/>
  <c r="Z89" i="4" s="1"/>
  <c r="S99" i="4"/>
  <c r="T99" i="4" s="1"/>
  <c r="N124" i="13"/>
  <c r="U94" i="4"/>
  <c r="AC157" i="4"/>
  <c r="AE157" i="4" s="1"/>
  <c r="AF157" i="4" s="1"/>
  <c r="S103" i="13"/>
  <c r="T103" i="13" s="1"/>
  <c r="S5" i="13"/>
  <c r="T5" i="13" s="1"/>
  <c r="N126" i="4"/>
  <c r="Q126" i="4" s="1"/>
  <c r="Y126" i="4" s="1"/>
  <c r="Z126" i="4" s="1"/>
  <c r="N4" i="13"/>
  <c r="N39" i="4"/>
  <c r="Q39" i="4" s="1"/>
  <c r="Y39" i="4" s="1"/>
  <c r="Z39" i="4" s="1"/>
  <c r="R50" i="13"/>
  <c r="S99" i="13"/>
  <c r="T99" i="13" s="1"/>
  <c r="N137" i="13"/>
  <c r="U31" i="13"/>
  <c r="S115" i="13"/>
  <c r="T115" i="13" s="1"/>
  <c r="S8" i="13"/>
  <c r="T8" i="13" s="1"/>
  <c r="U76" i="13"/>
  <c r="S69" i="13"/>
  <c r="T69" i="13" s="1"/>
  <c r="N62" i="4"/>
  <c r="Q62" i="4" s="1"/>
  <c r="V62" i="4" s="1"/>
  <c r="N117" i="13"/>
  <c r="S152" i="4"/>
  <c r="T152" i="4" s="1"/>
  <c r="R95" i="13"/>
  <c r="R10" i="13"/>
  <c r="Y94" i="4"/>
  <c r="AA94" i="4" s="1"/>
  <c r="U45" i="13"/>
  <c r="U88" i="13"/>
  <c r="S89" i="4"/>
  <c r="W89" i="4" s="1"/>
  <c r="S124" i="13"/>
  <c r="T124" i="13" s="1"/>
  <c r="V94" i="4"/>
  <c r="R103" i="13"/>
  <c r="R5" i="13"/>
  <c r="S126" i="4"/>
  <c r="T126" i="4" s="1"/>
  <c r="U4" i="13"/>
  <c r="S50" i="13"/>
  <c r="T50" i="13" s="1"/>
  <c r="U99" i="13"/>
  <c r="R137" i="13"/>
  <c r="N31" i="13"/>
  <c r="R115" i="13"/>
  <c r="R8" i="13"/>
  <c r="R76" i="13"/>
  <c r="U69" i="13"/>
  <c r="U117" i="13"/>
  <c r="AC152" i="4"/>
  <c r="AE152" i="4" s="1"/>
  <c r="AF152" i="4" s="1"/>
  <c r="S94" i="4"/>
  <c r="W94" i="4" s="1"/>
  <c r="AC94" i="4"/>
  <c r="AE94" i="4" s="1"/>
  <c r="AF94" i="4" s="1"/>
  <c r="S95" i="13"/>
  <c r="T95" i="13" s="1"/>
  <c r="S162" i="13"/>
  <c r="T162" i="13" s="1"/>
  <c r="N48" i="4"/>
  <c r="Q48" i="4" s="1"/>
  <c r="AD48" i="4" s="1"/>
  <c r="AG48" i="4" s="1"/>
  <c r="AH48" i="4" s="1"/>
  <c r="U75" i="13"/>
  <c r="S67" i="4"/>
  <c r="W67" i="4" s="1"/>
  <c r="AC64" i="4"/>
  <c r="AE64" i="4" s="1"/>
  <c r="AF64" i="4" s="1"/>
  <c r="AC150" i="4"/>
  <c r="AE150" i="4" s="1"/>
  <c r="AF150" i="4" s="1"/>
  <c r="N168" i="4"/>
  <c r="Q168" i="4" s="1"/>
  <c r="V168" i="4" s="1"/>
  <c r="R51" i="13"/>
  <c r="AC140" i="4"/>
  <c r="AE140" i="4" s="1"/>
  <c r="AF140" i="4" s="1"/>
  <c r="U65" i="13"/>
  <c r="N22" i="4"/>
  <c r="Q22" i="4" s="1"/>
  <c r="S22" i="4"/>
  <c r="N146" i="13"/>
  <c r="S140" i="4"/>
  <c r="T140" i="4" s="1"/>
  <c r="N125" i="4"/>
  <c r="Q125" i="4" s="1"/>
  <c r="AC125" i="4"/>
  <c r="AE125" i="4" s="1"/>
  <c r="AF125" i="4" s="1"/>
  <c r="S125" i="4"/>
  <c r="N95" i="13"/>
  <c r="S110" i="4"/>
  <c r="W110" i="4" s="1"/>
  <c r="S33" i="4"/>
  <c r="W33" i="4" s="1"/>
  <c r="AC21" i="4"/>
  <c r="AE21" i="4" s="1"/>
  <c r="AF21" i="4" s="1"/>
  <c r="N113" i="13"/>
  <c r="S74" i="4"/>
  <c r="T74" i="4" s="1"/>
  <c r="U157" i="13"/>
  <c r="S64" i="13"/>
  <c r="T64" i="13" s="1"/>
  <c r="R33" i="13"/>
  <c r="R113" i="13"/>
  <c r="AC56" i="4"/>
  <c r="AE56" i="4" s="1"/>
  <c r="AF56" i="4" s="1"/>
  <c r="N9" i="4"/>
  <c r="Q9" i="4" s="1"/>
  <c r="Y9" i="4" s="1"/>
  <c r="AA9" i="4" s="1"/>
  <c r="AC158" i="4"/>
  <c r="AE158" i="4" s="1"/>
  <c r="AF158" i="4" s="1"/>
  <c r="S144" i="4"/>
  <c r="W144" i="4" s="1"/>
  <c r="N16" i="4"/>
  <c r="Q16" i="4" s="1"/>
  <c r="AD16" i="4" s="1"/>
  <c r="AG16" i="4" s="1"/>
  <c r="AH16" i="4" s="1"/>
  <c r="N65" i="13"/>
  <c r="S111" i="4"/>
  <c r="T111" i="4" s="1"/>
  <c r="N37" i="13"/>
  <c r="AC33" i="4"/>
  <c r="AE33" i="4" s="1"/>
  <c r="AF33" i="4" s="1"/>
  <c r="N157" i="13"/>
  <c r="N111" i="4"/>
  <c r="Q111" i="4" s="1"/>
  <c r="Y111" i="4" s="1"/>
  <c r="AA111" i="4" s="1"/>
  <c r="R64" i="13"/>
  <c r="S33" i="13"/>
  <c r="T33" i="13" s="1"/>
  <c r="S172" i="4"/>
  <c r="T172" i="4" s="1"/>
  <c r="S37" i="13"/>
  <c r="T37" i="13" s="1"/>
  <c r="AC175" i="4"/>
  <c r="AE175" i="4" s="1"/>
  <c r="AF175" i="4" s="1"/>
  <c r="N144" i="4"/>
  <c r="Q144" i="4" s="1"/>
  <c r="Y144" i="4" s="1"/>
  <c r="AA144" i="4" s="1"/>
  <c r="R101" i="13"/>
  <c r="N110" i="4"/>
  <c r="Q110" i="4" s="1"/>
  <c r="Y110" i="4" s="1"/>
  <c r="Z110" i="4" s="1"/>
  <c r="S21" i="4"/>
  <c r="W21" i="4" s="1"/>
  <c r="S157" i="13"/>
  <c r="T157" i="13" s="1"/>
  <c r="R38" i="13"/>
  <c r="N64" i="13"/>
  <c r="U33" i="13"/>
  <c r="S146" i="4"/>
  <c r="W146" i="4" s="1"/>
  <c r="R37" i="13"/>
  <c r="S98" i="4"/>
  <c r="W98" i="4" s="1"/>
  <c r="N101" i="13"/>
  <c r="N38" i="13"/>
  <c r="U96" i="13"/>
  <c r="N146" i="4"/>
  <c r="Q146" i="4" s="1"/>
  <c r="U146" i="4" s="1"/>
  <c r="AC9" i="4"/>
  <c r="AE9" i="4" s="1"/>
  <c r="AF9" i="4" s="1"/>
  <c r="AC98" i="4"/>
  <c r="AE98" i="4" s="1"/>
  <c r="AF98" i="4" s="1"/>
  <c r="W129" i="4"/>
  <c r="S118" i="4"/>
  <c r="T118" i="4" s="1"/>
  <c r="N134" i="4"/>
  <c r="Q134" i="4" s="1"/>
  <c r="Y134" i="4" s="1"/>
  <c r="Z134" i="4" s="1"/>
  <c r="AC88" i="4"/>
  <c r="AE88" i="4" s="1"/>
  <c r="AF88" i="4" s="1"/>
  <c r="N88" i="4"/>
  <c r="Q88" i="4" s="1"/>
  <c r="S88" i="4"/>
  <c r="N24" i="13"/>
  <c r="S6" i="4"/>
  <c r="W6" i="4" s="1"/>
  <c r="U134" i="13"/>
  <c r="AL178" i="5"/>
  <c r="U47" i="13"/>
  <c r="AK178" i="5"/>
  <c r="U15" i="13"/>
  <c r="U72" i="13"/>
  <c r="S144" i="13"/>
  <c r="T144" i="13" s="1"/>
  <c r="U84" i="13"/>
  <c r="N43" i="13"/>
  <c r="AC145" i="4"/>
  <c r="AE145" i="4" s="1"/>
  <c r="AF145" i="4" s="1"/>
  <c r="S174" i="4"/>
  <c r="W174" i="4" s="1"/>
  <c r="S163" i="4"/>
  <c r="T163" i="4" s="1"/>
  <c r="N31" i="4"/>
  <c r="Q31" i="4" s="1"/>
  <c r="Y31" i="4" s="1"/>
  <c r="Z31" i="4" s="1"/>
  <c r="AC87" i="4"/>
  <c r="AE87" i="4" s="1"/>
  <c r="AF87" i="4" s="1"/>
  <c r="AJ178" i="5"/>
  <c r="U144" i="13"/>
  <c r="S5" i="4"/>
  <c r="T5" i="4" s="1"/>
  <c r="N84" i="13"/>
  <c r="N73" i="4"/>
  <c r="Q73" i="4" s="1"/>
  <c r="Y73" i="4" s="1"/>
  <c r="Z73" i="4" s="1"/>
  <c r="S43" i="13"/>
  <c r="T43" i="13" s="1"/>
  <c r="N134" i="13"/>
  <c r="AI178" i="5"/>
  <c r="AC101" i="4"/>
  <c r="AE101" i="4" s="1"/>
  <c r="AF101" i="4" s="1"/>
  <c r="AC163" i="4"/>
  <c r="AE163" i="4" s="1"/>
  <c r="AF163" i="4" s="1"/>
  <c r="AR178" i="5"/>
  <c r="S31" i="4"/>
  <c r="W31" i="4" s="1"/>
  <c r="U24" i="13"/>
  <c r="R72" i="13"/>
  <c r="AH178" i="5"/>
  <c r="N118" i="4"/>
  <c r="Q118" i="4" s="1"/>
  <c r="Y118" i="4" s="1"/>
  <c r="AA118" i="4" s="1"/>
  <c r="R146" i="13"/>
  <c r="AC134" i="4"/>
  <c r="AE134" i="4" s="1"/>
  <c r="AF134" i="4" s="1"/>
  <c r="N129" i="4"/>
  <c r="Q129" i="4" s="1"/>
  <c r="V129" i="4" s="1"/>
  <c r="R144" i="13"/>
  <c r="S84" i="13"/>
  <c r="T84" i="13" s="1"/>
  <c r="AC73" i="4"/>
  <c r="AE73" i="4" s="1"/>
  <c r="AF73" i="4" s="1"/>
  <c r="U43" i="13"/>
  <c r="R134" i="13"/>
  <c r="N101" i="4"/>
  <c r="Q101" i="4" s="1"/>
  <c r="Y101" i="4" s="1"/>
  <c r="Z101" i="4" s="1"/>
  <c r="AC174" i="4"/>
  <c r="AE174" i="4" s="1"/>
  <c r="AF174" i="4" s="1"/>
  <c r="N87" i="4"/>
  <c r="Q87" i="4" s="1"/>
  <c r="Y87" i="4" s="1"/>
  <c r="Z87" i="4" s="1"/>
  <c r="S24" i="13"/>
  <c r="T24" i="13" s="1"/>
  <c r="S72" i="13"/>
  <c r="T72" i="13" s="1"/>
  <c r="AP178" i="5"/>
  <c r="S146" i="13"/>
  <c r="T146" i="13" s="1"/>
  <c r="AC129" i="4"/>
  <c r="AE129" i="4" s="1"/>
  <c r="AF129" i="4" s="1"/>
  <c r="AS179" i="5"/>
  <c r="U97" i="13"/>
  <c r="N17" i="13"/>
  <c r="U125" i="13"/>
  <c r="S82" i="13"/>
  <c r="T82" i="13" s="1"/>
  <c r="N92" i="4"/>
  <c r="Q92" i="4" s="1"/>
  <c r="U92" i="4" s="1"/>
  <c r="N61" i="13"/>
  <c r="U6" i="13"/>
  <c r="S128" i="4"/>
  <c r="T128" i="4" s="1"/>
  <c r="U42" i="13"/>
  <c r="N125" i="13"/>
  <c r="AC92" i="4"/>
  <c r="AE92" i="4" s="1"/>
  <c r="AF92" i="4" s="1"/>
  <c r="N36" i="13"/>
  <c r="N6" i="13"/>
  <c r="N59" i="4"/>
  <c r="Q59" i="4" s="1"/>
  <c r="Y59" i="4" s="1"/>
  <c r="Z59" i="4" s="1"/>
  <c r="R42" i="13"/>
  <c r="AC20" i="4"/>
  <c r="AE20" i="4" s="1"/>
  <c r="AF20" i="4" s="1"/>
  <c r="U38" i="13"/>
  <c r="N96" i="13"/>
  <c r="AC6" i="4"/>
  <c r="AE6" i="4" s="1"/>
  <c r="AF6" i="4" s="1"/>
  <c r="R47" i="13"/>
  <c r="R15" i="13"/>
  <c r="N20" i="4"/>
  <c r="Q20" i="4" s="1"/>
  <c r="Y20" i="4" s="1"/>
  <c r="Z20" i="4" s="1"/>
  <c r="S145" i="4"/>
  <c r="W145" i="4" s="1"/>
  <c r="N47" i="13"/>
  <c r="S15" i="13"/>
  <c r="T15" i="13" s="1"/>
  <c r="S137" i="4"/>
  <c r="W137" i="4" s="1"/>
  <c r="S96" i="13"/>
  <c r="T96" i="13" s="1"/>
  <c r="R97" i="13"/>
  <c r="AC105" i="4"/>
  <c r="AE105" i="4" s="1"/>
  <c r="AF105" i="4" s="1"/>
  <c r="N82" i="13"/>
  <c r="R36" i="13"/>
  <c r="S61" i="13"/>
  <c r="T61" i="13" s="1"/>
  <c r="N97" i="13"/>
  <c r="N105" i="4"/>
  <c r="Q105" i="4" s="1"/>
  <c r="Y105" i="4" s="1"/>
  <c r="Z105" i="4" s="1"/>
  <c r="U82" i="13"/>
  <c r="S36" i="13"/>
  <c r="T36" i="13" s="1"/>
  <c r="R61" i="13"/>
  <c r="S32" i="13"/>
  <c r="T32" i="13" s="1"/>
  <c r="AO178" i="5"/>
  <c r="N137" i="4"/>
  <c r="Q137" i="4" s="1"/>
  <c r="Y137" i="4" s="1"/>
  <c r="Z137" i="4" s="1"/>
  <c r="AC51" i="4"/>
  <c r="AE51" i="4" s="1"/>
  <c r="AF51" i="4" s="1"/>
  <c r="U32" i="13"/>
  <c r="J177" i="4"/>
  <c r="AC156" i="4"/>
  <c r="AE156" i="4" s="1"/>
  <c r="AF156" i="4" s="1"/>
  <c r="N32" i="13"/>
  <c r="S156" i="4"/>
  <c r="W156" i="4" s="1"/>
  <c r="J177" i="13"/>
  <c r="AG178" i="5"/>
  <c r="AT177" i="5"/>
  <c r="AM178" i="5" s="1"/>
  <c r="Y40" i="4"/>
  <c r="Z40" i="4" s="1"/>
  <c r="Z133" i="4"/>
  <c r="AA133" i="4"/>
  <c r="AA167" i="4"/>
  <c r="Z167" i="4"/>
  <c r="Z23" i="4"/>
  <c r="AA23" i="4"/>
  <c r="Z123" i="4"/>
  <c r="AA123" i="4"/>
  <c r="AA8" i="4"/>
  <c r="Z8" i="4"/>
  <c r="AA154" i="4"/>
  <c r="Z154" i="4"/>
  <c r="Z83" i="4"/>
  <c r="AA83" i="4"/>
  <c r="Z120" i="4"/>
  <c r="AA120" i="4"/>
  <c r="Z171" i="4"/>
  <c r="AA171" i="4"/>
  <c r="AA108" i="4"/>
  <c r="Z108" i="4"/>
  <c r="AA131" i="4"/>
  <c r="Z131" i="4"/>
  <c r="AA50" i="4"/>
  <c r="Z50" i="4"/>
  <c r="AA70" i="4"/>
  <c r="Z70" i="4"/>
  <c r="Z3" i="4"/>
  <c r="AA3" i="4"/>
  <c r="AA109" i="4"/>
  <c r="Z109" i="4"/>
  <c r="U166" i="4"/>
  <c r="V166" i="4"/>
  <c r="AD166" i="4"/>
  <c r="AG166" i="4" s="1"/>
  <c r="AH166" i="4" s="1"/>
  <c r="AA162" i="4"/>
  <c r="Z162" i="4"/>
  <c r="T69" i="4"/>
  <c r="W69" i="4"/>
  <c r="Z68" i="4"/>
  <c r="AA68" i="4"/>
  <c r="AA6" i="4"/>
  <c r="Z6" i="4"/>
  <c r="W70" i="4"/>
  <c r="T70" i="4"/>
  <c r="U145" i="4"/>
  <c r="V145" i="4"/>
  <c r="AD145" i="4"/>
  <c r="AG145" i="4" s="1"/>
  <c r="AH145" i="4" s="1"/>
  <c r="W169" i="4"/>
  <c r="T169" i="4"/>
  <c r="Z66" i="4"/>
  <c r="AA66" i="4"/>
  <c r="Z148" i="4"/>
  <c r="AA148" i="4"/>
  <c r="T9" i="4"/>
  <c r="W9" i="4"/>
  <c r="S4" i="4"/>
  <c r="AC4" i="4"/>
  <c r="N4" i="4"/>
  <c r="Q4" i="4" s="1"/>
  <c r="Y4" i="4" s="1"/>
  <c r="L177" i="4"/>
  <c r="W108" i="4"/>
  <c r="T108" i="4"/>
  <c r="W57" i="4"/>
  <c r="T57" i="4"/>
  <c r="U114" i="4"/>
  <c r="V114" i="4"/>
  <c r="AD114" i="4"/>
  <c r="AG114" i="4" s="1"/>
  <c r="AH114" i="4" s="1"/>
  <c r="U46" i="4"/>
  <c r="V46" i="4"/>
  <c r="AD46" i="4"/>
  <c r="AG46" i="4" s="1"/>
  <c r="AH46" i="4" s="1"/>
  <c r="AA82" i="4"/>
  <c r="Z82" i="4"/>
  <c r="V170" i="4"/>
  <c r="AD170" i="4"/>
  <c r="AG170" i="4" s="1"/>
  <c r="AH170" i="4" s="1"/>
  <c r="U170" i="4"/>
  <c r="T20" i="4"/>
  <c r="W20" i="4"/>
  <c r="T93" i="4"/>
  <c r="W93" i="4"/>
  <c r="W42" i="4"/>
  <c r="T42" i="4"/>
  <c r="T134" i="4"/>
  <c r="W134" i="4"/>
  <c r="U37" i="4"/>
  <c r="V37" i="4"/>
  <c r="AD37" i="4"/>
  <c r="AG37" i="4" s="1"/>
  <c r="AH37" i="4" s="1"/>
  <c r="AA140" i="4"/>
  <c r="Z140" i="4"/>
  <c r="W104" i="4"/>
  <c r="T104" i="4"/>
  <c r="W63" i="4"/>
  <c r="T63" i="4"/>
  <c r="AA112" i="4"/>
  <c r="Z112" i="4"/>
  <c r="W15" i="4"/>
  <c r="T15" i="4"/>
  <c r="AD113" i="4"/>
  <c r="AG113" i="4" s="1"/>
  <c r="AH113" i="4" s="1"/>
  <c r="U113" i="4"/>
  <c r="V113" i="4"/>
  <c r="AA26" i="4"/>
  <c r="Z26" i="4"/>
  <c r="W117" i="4"/>
  <c r="T117" i="4"/>
  <c r="U33" i="4"/>
  <c r="V33" i="4"/>
  <c r="AD33" i="4"/>
  <c r="AG33" i="4" s="1"/>
  <c r="AH33" i="4" s="1"/>
  <c r="W139" i="4"/>
  <c r="T139" i="4"/>
  <c r="U28" i="4"/>
  <c r="AD28" i="4"/>
  <c r="AG28" i="4" s="1"/>
  <c r="AH28" i="4" s="1"/>
  <c r="V28" i="4"/>
  <c r="Z52" i="4"/>
  <c r="AA52" i="4"/>
  <c r="T41" i="4"/>
  <c r="W41" i="4"/>
  <c r="U122" i="4"/>
  <c r="V122" i="4"/>
  <c r="AD122" i="4"/>
  <c r="AG122" i="4" s="1"/>
  <c r="AH122" i="4" s="1"/>
  <c r="V55" i="4"/>
  <c r="U55" i="4"/>
  <c r="AD55" i="4"/>
  <c r="AG55" i="4" s="1"/>
  <c r="AH55" i="4" s="1"/>
  <c r="W34" i="4"/>
  <c r="T34" i="4"/>
  <c r="AD38" i="4"/>
  <c r="AG38" i="4" s="1"/>
  <c r="AH38" i="4" s="1"/>
  <c r="U38" i="4"/>
  <c r="V38" i="4"/>
  <c r="V69" i="4"/>
  <c r="U69" i="4"/>
  <c r="AD69" i="4"/>
  <c r="AG69" i="4" s="1"/>
  <c r="AH69" i="4" s="1"/>
  <c r="AD135" i="4"/>
  <c r="AG135" i="4" s="1"/>
  <c r="AH135" i="4" s="1"/>
  <c r="V135" i="4"/>
  <c r="U135" i="4"/>
  <c r="T165" i="4"/>
  <c r="W165" i="4"/>
  <c r="AD5" i="4"/>
  <c r="AG5" i="4" s="1"/>
  <c r="AH5" i="4" s="1"/>
  <c r="U5" i="4"/>
  <c r="V5" i="4"/>
  <c r="AD6" i="4"/>
  <c r="AG6" i="4" s="1"/>
  <c r="AH6" i="4" s="1"/>
  <c r="U6" i="4"/>
  <c r="V6" i="4"/>
  <c r="T127" i="4"/>
  <c r="W127" i="4"/>
  <c r="W72" i="4"/>
  <c r="T72" i="4"/>
  <c r="T81" i="4"/>
  <c r="W81" i="4"/>
  <c r="T10" i="4"/>
  <c r="W10" i="4"/>
  <c r="V169" i="4"/>
  <c r="AD169" i="4"/>
  <c r="AG169" i="4" s="1"/>
  <c r="AH169" i="4" s="1"/>
  <c r="U169" i="4"/>
  <c r="U60" i="4"/>
  <c r="V60" i="4"/>
  <c r="AD60" i="4"/>
  <c r="AG60" i="4" s="1"/>
  <c r="AH60" i="4" s="1"/>
  <c r="AD96" i="4"/>
  <c r="AG96" i="4" s="1"/>
  <c r="AH96" i="4" s="1"/>
  <c r="U96" i="4"/>
  <c r="V96" i="4"/>
  <c r="W79" i="4"/>
  <c r="T79" i="4"/>
  <c r="T77" i="4"/>
  <c r="W77" i="4"/>
  <c r="W142" i="4"/>
  <c r="T142" i="4"/>
  <c r="T56" i="4"/>
  <c r="W56" i="4"/>
  <c r="W100" i="4"/>
  <c r="T100" i="4"/>
  <c r="T61" i="4"/>
  <c r="W61" i="4"/>
  <c r="U64" i="4"/>
  <c r="AD64" i="4"/>
  <c r="AG64" i="4" s="1"/>
  <c r="AH64" i="4" s="1"/>
  <c r="V64" i="4"/>
  <c r="AD163" i="4"/>
  <c r="AG163" i="4" s="1"/>
  <c r="AH163" i="4" s="1"/>
  <c r="V163" i="4"/>
  <c r="U163" i="4"/>
  <c r="AD53" i="4"/>
  <c r="AG53" i="4" s="1"/>
  <c r="AH53" i="4" s="1"/>
  <c r="V53" i="4"/>
  <c r="U53" i="4"/>
  <c r="AA44" i="4"/>
  <c r="Z44" i="4"/>
  <c r="T35" i="4"/>
  <c r="W35" i="4"/>
  <c r="AD12" i="4"/>
  <c r="AG12" i="4" s="1"/>
  <c r="AH12" i="4" s="1"/>
  <c r="V12" i="4"/>
  <c r="U12" i="4"/>
  <c r="W18" i="4"/>
  <c r="T18" i="4"/>
  <c r="AD116" i="4"/>
  <c r="AG116" i="4" s="1"/>
  <c r="AH116" i="4" s="1"/>
  <c r="U116" i="4"/>
  <c r="V116" i="4"/>
  <c r="AA151" i="4"/>
  <c r="Z151" i="4"/>
  <c r="V107" i="4"/>
  <c r="U107" i="4"/>
  <c r="AD107" i="4"/>
  <c r="AG107" i="4" s="1"/>
  <c r="AH107" i="4" s="1"/>
  <c r="AD95" i="4"/>
  <c r="AG95" i="4" s="1"/>
  <c r="AH95" i="4" s="1"/>
  <c r="V95" i="4"/>
  <c r="U95" i="4"/>
  <c r="V149" i="4"/>
  <c r="AD149" i="4"/>
  <c r="AG149" i="4" s="1"/>
  <c r="AH149" i="4" s="1"/>
  <c r="U149" i="4"/>
  <c r="V119" i="4"/>
  <c r="U119" i="4"/>
  <c r="AD119" i="4"/>
  <c r="AG119" i="4" s="1"/>
  <c r="AH119" i="4" s="1"/>
  <c r="T114" i="4"/>
  <c r="W114" i="4"/>
  <c r="W106" i="4"/>
  <c r="T106" i="4"/>
  <c r="U156" i="4"/>
  <c r="V156" i="4"/>
  <c r="AD156" i="4"/>
  <c r="AG156" i="4" s="1"/>
  <c r="AH156" i="4" s="1"/>
  <c r="AD143" i="4"/>
  <c r="AG143" i="4" s="1"/>
  <c r="AH143" i="4" s="1"/>
  <c r="V143" i="4"/>
  <c r="U143" i="4"/>
  <c r="T170" i="4"/>
  <c r="W170" i="4"/>
  <c r="U93" i="4"/>
  <c r="V93" i="4"/>
  <c r="AD93" i="4"/>
  <c r="AG93" i="4" s="1"/>
  <c r="AH93" i="4" s="1"/>
  <c r="V42" i="4"/>
  <c r="U42" i="4"/>
  <c r="AD42" i="4"/>
  <c r="AG42" i="4" s="1"/>
  <c r="AH42" i="4" s="1"/>
  <c r="U27" i="4"/>
  <c r="AD27" i="4"/>
  <c r="AG27" i="4" s="1"/>
  <c r="AH27" i="4" s="1"/>
  <c r="V27" i="4"/>
  <c r="T37" i="4"/>
  <c r="W37" i="4"/>
  <c r="AA130" i="4"/>
  <c r="Z130" i="4"/>
  <c r="AD104" i="4"/>
  <c r="AG104" i="4" s="1"/>
  <c r="AH104" i="4" s="1"/>
  <c r="U104" i="4"/>
  <c r="V104" i="4"/>
  <c r="AD63" i="4"/>
  <c r="AG63" i="4" s="1"/>
  <c r="AH63" i="4" s="1"/>
  <c r="V63" i="4"/>
  <c r="U63" i="4"/>
  <c r="U3" i="13"/>
  <c r="S3" i="13"/>
  <c r="R3" i="13"/>
  <c r="L177" i="13"/>
  <c r="N3" i="13"/>
  <c r="U112" i="4"/>
  <c r="AD112" i="4"/>
  <c r="AG112" i="4" s="1"/>
  <c r="AH112" i="4" s="1"/>
  <c r="V112" i="4"/>
  <c r="AA15" i="4"/>
  <c r="Z15" i="4"/>
  <c r="T113" i="4"/>
  <c r="W113" i="4"/>
  <c r="T26" i="4"/>
  <c r="W26" i="4"/>
  <c r="Z117" i="4"/>
  <c r="AA117" i="4"/>
  <c r="T71" i="4"/>
  <c r="W71" i="4"/>
  <c r="Z21" i="4"/>
  <c r="AA21" i="4"/>
  <c r="AD154" i="4"/>
  <c r="AG154" i="4" s="1"/>
  <c r="AH154" i="4" s="1"/>
  <c r="U154" i="4"/>
  <c r="V154" i="4"/>
  <c r="V34" i="4"/>
  <c r="AD34" i="4"/>
  <c r="AG34" i="4" s="1"/>
  <c r="AH34" i="4" s="1"/>
  <c r="U34" i="4"/>
  <c r="W175" i="4"/>
  <c r="T175" i="4"/>
  <c r="Z127" i="4"/>
  <c r="AA127" i="4"/>
  <c r="AA81" i="4"/>
  <c r="Z81" i="4"/>
  <c r="V10" i="4"/>
  <c r="AD10" i="4"/>
  <c r="AG10" i="4" s="1"/>
  <c r="AH10" i="4" s="1"/>
  <c r="U10" i="4"/>
  <c r="AA160" i="4"/>
  <c r="Z160" i="4"/>
  <c r="T96" i="4"/>
  <c r="W96" i="4"/>
  <c r="W101" i="4"/>
  <c r="T101" i="4"/>
  <c r="V109" i="4"/>
  <c r="U109" i="4"/>
  <c r="AD109" i="4"/>
  <c r="AG109" i="4" s="1"/>
  <c r="AH109" i="4" s="1"/>
  <c r="V83" i="4"/>
  <c r="AD83" i="4"/>
  <c r="AG83" i="4" s="1"/>
  <c r="AH83" i="4" s="1"/>
  <c r="U83" i="4"/>
  <c r="T123" i="4"/>
  <c r="W123" i="4"/>
  <c r="AD8" i="4"/>
  <c r="AG8" i="4" s="1"/>
  <c r="AH8" i="4" s="1"/>
  <c r="V8" i="4"/>
  <c r="U8" i="4"/>
  <c r="Z98" i="4"/>
  <c r="AA98" i="4"/>
  <c r="T13" i="4"/>
  <c r="W13" i="4"/>
  <c r="W166" i="4"/>
  <c r="T166" i="4"/>
  <c r="V162" i="4"/>
  <c r="U162" i="4"/>
  <c r="AD162" i="4"/>
  <c r="AG162" i="4" s="1"/>
  <c r="AH162" i="4" s="1"/>
  <c r="V124" i="4"/>
  <c r="U124" i="4"/>
  <c r="AD124" i="4"/>
  <c r="AG124" i="4" s="1"/>
  <c r="AH124" i="4" s="1"/>
  <c r="AA55" i="4"/>
  <c r="Z55" i="4"/>
  <c r="Z69" i="4"/>
  <c r="AA69" i="4"/>
  <c r="V43" i="4"/>
  <c r="AD43" i="4"/>
  <c r="AG43" i="4" s="1"/>
  <c r="AH43" i="4" s="1"/>
  <c r="U43" i="4"/>
  <c r="U85" i="4"/>
  <c r="V85" i="4"/>
  <c r="AD85" i="4"/>
  <c r="AG85" i="4" s="1"/>
  <c r="AH85" i="4" s="1"/>
  <c r="V127" i="4"/>
  <c r="AD127" i="4"/>
  <c r="AG127" i="4" s="1"/>
  <c r="AH127" i="4" s="1"/>
  <c r="U127" i="4"/>
  <c r="AD155" i="4"/>
  <c r="AG155" i="4" s="1"/>
  <c r="AH155" i="4" s="1"/>
  <c r="V155" i="4"/>
  <c r="U155" i="4"/>
  <c r="AD157" i="4"/>
  <c r="AG157" i="4" s="1"/>
  <c r="AH157" i="4" s="1"/>
  <c r="V157" i="4"/>
  <c r="U157" i="4"/>
  <c r="V70" i="4"/>
  <c r="AD70" i="4"/>
  <c r="AG70" i="4" s="1"/>
  <c r="AH70" i="4" s="1"/>
  <c r="U70" i="4"/>
  <c r="AD81" i="4"/>
  <c r="AG81" i="4" s="1"/>
  <c r="AH81" i="4" s="1"/>
  <c r="U81" i="4"/>
  <c r="V81" i="4"/>
  <c r="Y10" i="4"/>
  <c r="T92" i="4"/>
  <c r="W92" i="4"/>
  <c r="Y145" i="4"/>
  <c r="V160" i="4"/>
  <c r="AD160" i="4"/>
  <c r="AG160" i="4" s="1"/>
  <c r="AH160" i="4" s="1"/>
  <c r="U160" i="4"/>
  <c r="U167" i="4"/>
  <c r="V167" i="4"/>
  <c r="AD167" i="4"/>
  <c r="AG167" i="4" s="1"/>
  <c r="AH167" i="4" s="1"/>
  <c r="AD3" i="4"/>
  <c r="AG3" i="4" s="1"/>
  <c r="AH3" i="4" s="1"/>
  <c r="U3" i="4"/>
  <c r="V3" i="4"/>
  <c r="Z60" i="4"/>
  <c r="AA60" i="4"/>
  <c r="T136" i="4"/>
  <c r="W136" i="4"/>
  <c r="AD66" i="4"/>
  <c r="AG66" i="4" s="1"/>
  <c r="AH66" i="4" s="1"/>
  <c r="U66" i="4"/>
  <c r="V66" i="4"/>
  <c r="AA142" i="4"/>
  <c r="Z142" i="4"/>
  <c r="AD174" i="4"/>
  <c r="AG174" i="4" s="1"/>
  <c r="AH174" i="4" s="1"/>
  <c r="V174" i="4"/>
  <c r="U174" i="4"/>
  <c r="V120" i="4"/>
  <c r="U120" i="4"/>
  <c r="AD120" i="4"/>
  <c r="AG120" i="4" s="1"/>
  <c r="AH120" i="4" s="1"/>
  <c r="AD61" i="4"/>
  <c r="AG61" i="4" s="1"/>
  <c r="AH61" i="4" s="1"/>
  <c r="V61" i="4"/>
  <c r="U61" i="4"/>
  <c r="AD148" i="4"/>
  <c r="AG148" i="4" s="1"/>
  <c r="AH148" i="4" s="1"/>
  <c r="U148" i="4"/>
  <c r="V148" i="4"/>
  <c r="AD23" i="4"/>
  <c r="AG23" i="4" s="1"/>
  <c r="AH23" i="4" s="1"/>
  <c r="V23" i="4"/>
  <c r="U23" i="4"/>
  <c r="AA14" i="4"/>
  <c r="Z14" i="4"/>
  <c r="Z163" i="4"/>
  <c r="AA163" i="4"/>
  <c r="W17" i="4"/>
  <c r="T17" i="4"/>
  <c r="Z35" i="4"/>
  <c r="AA35" i="4"/>
  <c r="AD18" i="4"/>
  <c r="AG18" i="4" s="1"/>
  <c r="AH18" i="4" s="1"/>
  <c r="V18" i="4"/>
  <c r="U18" i="4"/>
  <c r="W116" i="4"/>
  <c r="T116" i="4"/>
  <c r="T151" i="4"/>
  <c r="W151" i="4"/>
  <c r="Z95" i="4"/>
  <c r="AA95" i="4"/>
  <c r="U54" i="4"/>
  <c r="V54" i="4"/>
  <c r="AD54" i="4"/>
  <c r="AG54" i="4" s="1"/>
  <c r="AH54" i="4" s="1"/>
  <c r="T87" i="4"/>
  <c r="W87" i="4"/>
  <c r="U123" i="4"/>
  <c r="AD123" i="4"/>
  <c r="AG123" i="4" s="1"/>
  <c r="AH123" i="4" s="1"/>
  <c r="V123" i="4"/>
  <c r="W150" i="4"/>
  <c r="T150" i="4"/>
  <c r="T149" i="4"/>
  <c r="W149" i="4"/>
  <c r="AD108" i="4"/>
  <c r="AG108" i="4" s="1"/>
  <c r="AH108" i="4" s="1"/>
  <c r="V108" i="4"/>
  <c r="U108" i="4"/>
  <c r="AA119" i="4"/>
  <c r="Z119" i="4"/>
  <c r="Y46" i="4"/>
  <c r="V24" i="4"/>
  <c r="U24" i="4"/>
  <c r="AD24" i="4"/>
  <c r="AG24" i="4" s="1"/>
  <c r="AH24" i="4" s="1"/>
  <c r="AA106" i="4"/>
  <c r="Z106" i="4"/>
  <c r="T8" i="4"/>
  <c r="W8" i="4"/>
  <c r="AA173" i="4"/>
  <c r="Z173" i="4"/>
  <c r="AA156" i="4"/>
  <c r="Z156" i="4"/>
  <c r="T143" i="4"/>
  <c r="W143" i="4"/>
  <c r="AD131" i="4"/>
  <c r="AG131" i="4" s="1"/>
  <c r="AH131" i="4" s="1"/>
  <c r="V131" i="4"/>
  <c r="U131" i="4"/>
  <c r="AA93" i="4"/>
  <c r="Z93" i="4"/>
  <c r="Z27" i="4"/>
  <c r="AA27" i="4"/>
  <c r="T130" i="4"/>
  <c r="W130" i="4"/>
  <c r="AA104" i="4"/>
  <c r="Z104" i="4"/>
  <c r="AD152" i="4"/>
  <c r="AG152" i="4" s="1"/>
  <c r="AH152" i="4" s="1"/>
  <c r="U152" i="4"/>
  <c r="V152" i="4"/>
  <c r="Y113" i="4"/>
  <c r="V26" i="4"/>
  <c r="U26" i="4"/>
  <c r="AD26" i="4"/>
  <c r="AG26" i="4" s="1"/>
  <c r="AH26" i="4" s="1"/>
  <c r="U133" i="4"/>
  <c r="V133" i="4"/>
  <c r="AD133" i="4"/>
  <c r="AG133" i="4" s="1"/>
  <c r="AH133" i="4" s="1"/>
  <c r="W52" i="4"/>
  <c r="T52" i="4"/>
  <c r="AA124" i="4"/>
  <c r="Z124" i="4"/>
  <c r="W55" i="4"/>
  <c r="T55" i="4"/>
  <c r="AA38" i="4"/>
  <c r="Z38" i="4"/>
  <c r="AA135" i="4"/>
  <c r="Z135" i="4"/>
  <c r="V132" i="4"/>
  <c r="U132" i="4"/>
  <c r="AD132" i="4"/>
  <c r="AG132" i="4" s="1"/>
  <c r="AH132" i="4" s="1"/>
  <c r="T90" i="4"/>
  <c r="W90" i="4"/>
  <c r="Z43" i="4"/>
  <c r="AA43" i="4"/>
  <c r="Z85" i="4"/>
  <c r="AA85" i="4"/>
  <c r="T73" i="4"/>
  <c r="W73" i="4"/>
  <c r="Z155" i="4"/>
  <c r="AA155" i="4"/>
  <c r="Z72" i="4"/>
  <c r="AA72" i="4"/>
  <c r="AA174" i="4"/>
  <c r="Z174" i="4"/>
  <c r="W120" i="4"/>
  <c r="T120" i="4"/>
  <c r="W14" i="4"/>
  <c r="T14" i="4"/>
  <c r="AA64" i="4"/>
  <c r="Z64" i="4"/>
  <c r="Z18" i="4"/>
  <c r="AA18" i="4"/>
  <c r="U171" i="4"/>
  <c r="V171" i="4"/>
  <c r="AD171" i="4"/>
  <c r="AG171" i="4" s="1"/>
  <c r="AH171" i="4" s="1"/>
  <c r="W95" i="4"/>
  <c r="T95" i="4"/>
  <c r="AA149" i="4"/>
  <c r="Z149" i="4"/>
  <c r="T119" i="4"/>
  <c r="W119" i="4"/>
  <c r="AA24" i="4"/>
  <c r="Z24" i="4"/>
  <c r="W168" i="4"/>
  <c r="T168" i="4"/>
  <c r="AA33" i="4"/>
  <c r="Z33" i="4"/>
  <c r="AD21" i="4"/>
  <c r="AG21" i="4" s="1"/>
  <c r="AH21" i="4" s="1"/>
  <c r="U21" i="4"/>
  <c r="V21" i="4"/>
  <c r="Z28" i="4"/>
  <c r="AA28" i="4"/>
  <c r="AA41" i="4"/>
  <c r="Z41" i="4"/>
  <c r="V50" i="4"/>
  <c r="AD50" i="4"/>
  <c r="AG50" i="4" s="1"/>
  <c r="AH50" i="4" s="1"/>
  <c r="U50" i="4"/>
  <c r="AA122" i="4"/>
  <c r="Z122" i="4"/>
  <c r="AD68" i="4"/>
  <c r="AG68" i="4" s="1"/>
  <c r="AH68" i="4" s="1"/>
  <c r="V68" i="4"/>
  <c r="U68" i="4"/>
  <c r="Y132" i="4"/>
  <c r="Z5" i="4"/>
  <c r="AA5" i="4"/>
  <c r="T121" i="4"/>
  <c r="W121" i="4"/>
  <c r="V74" i="4"/>
  <c r="AD74" i="4"/>
  <c r="AG74" i="4" s="1"/>
  <c r="AH74" i="4" s="1"/>
  <c r="U74" i="4"/>
  <c r="U117" i="4"/>
  <c r="AD117" i="4"/>
  <c r="AG117" i="4" s="1"/>
  <c r="AH117" i="4" s="1"/>
  <c r="V117" i="4"/>
  <c r="Y13" i="4"/>
  <c r="U13" i="4"/>
  <c r="AD13" i="4"/>
  <c r="AG13" i="4" s="1"/>
  <c r="AH13" i="4" s="1"/>
  <c r="V13" i="4"/>
  <c r="Y166" i="4"/>
  <c r="W162" i="4"/>
  <c r="T162" i="4"/>
  <c r="W133" i="4"/>
  <c r="T133" i="4"/>
  <c r="W28" i="4"/>
  <c r="T28" i="4"/>
  <c r="W105" i="4"/>
  <c r="T105" i="4"/>
  <c r="V52" i="4"/>
  <c r="AD52" i="4"/>
  <c r="AG52" i="4" s="1"/>
  <c r="AH52" i="4" s="1"/>
  <c r="U52" i="4"/>
  <c r="V41" i="4"/>
  <c r="U41" i="4"/>
  <c r="AD41" i="4"/>
  <c r="AG41" i="4" s="1"/>
  <c r="AH41" i="4" s="1"/>
  <c r="W154" i="4"/>
  <c r="T154" i="4"/>
  <c r="Y34" i="4"/>
  <c r="T135" i="4"/>
  <c r="W135" i="4"/>
  <c r="T43" i="4"/>
  <c r="W43" i="4"/>
  <c r="T85" i="4"/>
  <c r="W85" i="4"/>
  <c r="T155" i="4"/>
  <c r="W155" i="4"/>
  <c r="Y157" i="4"/>
  <c r="U72" i="4"/>
  <c r="AD72" i="4"/>
  <c r="AG72" i="4" s="1"/>
  <c r="AH72" i="4" s="1"/>
  <c r="V72" i="4"/>
  <c r="Y74" i="4"/>
  <c r="Y169" i="4"/>
  <c r="W160" i="4"/>
  <c r="T160" i="4"/>
  <c r="W167" i="4"/>
  <c r="T167" i="4"/>
  <c r="T3" i="4"/>
  <c r="W3" i="4"/>
  <c r="T60" i="4"/>
  <c r="W60" i="4"/>
  <c r="Y96" i="4"/>
  <c r="T11" i="4"/>
  <c r="W11" i="4"/>
  <c r="T66" i="4"/>
  <c r="W66" i="4"/>
  <c r="AD142" i="4"/>
  <c r="AG142" i="4" s="1"/>
  <c r="AH142" i="4" s="1"/>
  <c r="U142" i="4"/>
  <c r="V142" i="4"/>
  <c r="W39" i="4"/>
  <c r="T39" i="4"/>
  <c r="Y100" i="4"/>
  <c r="AD100" i="4"/>
  <c r="AG100" i="4" s="1"/>
  <c r="AH100" i="4" s="1"/>
  <c r="V100" i="4"/>
  <c r="U100" i="4"/>
  <c r="Y61" i="4"/>
  <c r="W148" i="4"/>
  <c r="T148" i="4"/>
  <c r="V14" i="4"/>
  <c r="AD14" i="4"/>
  <c r="AG14" i="4" s="1"/>
  <c r="AH14" i="4" s="1"/>
  <c r="U14" i="4"/>
  <c r="T80" i="13"/>
  <c r="Y53" i="4"/>
  <c r="W109" i="4"/>
  <c r="T109" i="4"/>
  <c r="V44" i="4"/>
  <c r="U44" i="4"/>
  <c r="AD44" i="4"/>
  <c r="AG44" i="4" s="1"/>
  <c r="AH44" i="4" s="1"/>
  <c r="V35" i="4"/>
  <c r="U35" i="4"/>
  <c r="AD35" i="4"/>
  <c r="AG35" i="4" s="1"/>
  <c r="AH35" i="4" s="1"/>
  <c r="Y12" i="4"/>
  <c r="T59" i="4"/>
  <c r="W59" i="4"/>
  <c r="W7" i="4"/>
  <c r="T7" i="4"/>
  <c r="Y116" i="4"/>
  <c r="V151" i="4"/>
  <c r="U151" i="4"/>
  <c r="AD151" i="4"/>
  <c r="AG151" i="4" s="1"/>
  <c r="AH151" i="4" s="1"/>
  <c r="Y107" i="4"/>
  <c r="T158" i="4"/>
  <c r="W158" i="4"/>
  <c r="Y54" i="4"/>
  <c r="Y114" i="4"/>
  <c r="T46" i="4"/>
  <c r="W46" i="4"/>
  <c r="T24" i="4"/>
  <c r="W24" i="4"/>
  <c r="W51" i="4"/>
  <c r="T51" i="4"/>
  <c r="V106" i="4"/>
  <c r="U106" i="4"/>
  <c r="AD106" i="4"/>
  <c r="AG106" i="4" s="1"/>
  <c r="AH106" i="4" s="1"/>
  <c r="V173" i="4"/>
  <c r="U173" i="4"/>
  <c r="AD173" i="4"/>
  <c r="AG173" i="4" s="1"/>
  <c r="AH173" i="4" s="1"/>
  <c r="W45" i="4"/>
  <c r="T45" i="4"/>
  <c r="V98" i="4"/>
  <c r="U98" i="4"/>
  <c r="AD98" i="4"/>
  <c r="AG98" i="4" s="1"/>
  <c r="AH98" i="4" s="1"/>
  <c r="W32" i="4"/>
  <c r="T32" i="4"/>
  <c r="Y143" i="4"/>
  <c r="V82" i="4"/>
  <c r="AD82" i="4"/>
  <c r="AG82" i="4" s="1"/>
  <c r="AH82" i="4" s="1"/>
  <c r="U82" i="4"/>
  <c r="W131" i="4"/>
  <c r="T131" i="4"/>
  <c r="W138" i="4"/>
  <c r="T138" i="4"/>
  <c r="Y170" i="4"/>
  <c r="Y42" i="4"/>
  <c r="T27" i="4"/>
  <c r="W27" i="4"/>
  <c r="Y37" i="4"/>
  <c r="AD140" i="4"/>
  <c r="AG140" i="4" s="1"/>
  <c r="AH140" i="4" s="1"/>
  <c r="U140" i="4"/>
  <c r="V140" i="4"/>
  <c r="U130" i="4"/>
  <c r="AD130" i="4"/>
  <c r="AG130" i="4" s="1"/>
  <c r="AH130" i="4" s="1"/>
  <c r="V130" i="4"/>
  <c r="Y63" i="4"/>
  <c r="T159" i="4"/>
  <c r="W159" i="4"/>
  <c r="W112" i="4"/>
  <c r="T112" i="4"/>
  <c r="Y152" i="4"/>
  <c r="T115" i="4"/>
  <c r="W115" i="4"/>
  <c r="AD15" i="4"/>
  <c r="AG15" i="4" s="1"/>
  <c r="AH15" i="4" s="1"/>
  <c r="U15" i="4"/>
  <c r="V15" i="4"/>
  <c r="W153" i="4" l="1"/>
  <c r="AA86" i="4"/>
  <c r="T91" i="4"/>
  <c r="AD86" i="4"/>
  <c r="AG86" i="4" s="1"/>
  <c r="AH86" i="4" s="1"/>
  <c r="V147" i="4"/>
  <c r="U86" i="4"/>
  <c r="V91" i="4"/>
  <c r="V86" i="4"/>
  <c r="AA153" i="4"/>
  <c r="V153" i="4"/>
  <c r="AD153" i="4"/>
  <c r="AG153" i="4" s="1"/>
  <c r="AH153" i="4" s="1"/>
  <c r="U153" i="4"/>
  <c r="V75" i="4"/>
  <c r="W102" i="4"/>
  <c r="Y75" i="4"/>
  <c r="Z75" i="4" s="1"/>
  <c r="AA11" i="4"/>
  <c r="AD75" i="4"/>
  <c r="AG75" i="4" s="1"/>
  <c r="AH75" i="4" s="1"/>
  <c r="U71" i="4"/>
  <c r="U84" i="4"/>
  <c r="Y84" i="4"/>
  <c r="Z84" i="4" s="1"/>
  <c r="U11" i="4"/>
  <c r="AD84" i="4"/>
  <c r="AG84" i="4" s="1"/>
  <c r="AH84" i="4" s="1"/>
  <c r="W75" i="4"/>
  <c r="W23" i="4"/>
  <c r="T86" i="4"/>
  <c r="Y71" i="4"/>
  <c r="Z71" i="4" s="1"/>
  <c r="V11" i="4"/>
  <c r="AD71" i="4"/>
  <c r="AG71" i="4" s="1"/>
  <c r="AH71" i="4" s="1"/>
  <c r="AD11" i="4"/>
  <c r="AG11" i="4" s="1"/>
  <c r="AH11" i="4" s="1"/>
  <c r="AD102" i="4"/>
  <c r="AG102" i="4" s="1"/>
  <c r="AH102" i="4" s="1"/>
  <c r="Y102" i="4"/>
  <c r="Z102" i="4" s="1"/>
  <c r="U102" i="4"/>
  <c r="AD32" i="4"/>
  <c r="AG32" i="4" s="1"/>
  <c r="AH32" i="4" s="1"/>
  <c r="U79" i="4"/>
  <c r="T84" i="4"/>
  <c r="AA91" i="4"/>
  <c r="Y147" i="4"/>
  <c r="Z147" i="4" s="1"/>
  <c r="U147" i="4"/>
  <c r="Y32" i="4"/>
  <c r="AA32" i="4" s="1"/>
  <c r="U32" i="4"/>
  <c r="Z80" i="4"/>
  <c r="AD17" i="4"/>
  <c r="AG17" i="4" s="1"/>
  <c r="AH17" i="4" s="1"/>
  <c r="AD91" i="4"/>
  <c r="AG91" i="4" s="1"/>
  <c r="AH91" i="4" s="1"/>
  <c r="V40" i="4"/>
  <c r="AA79" i="4"/>
  <c r="U91" i="4"/>
  <c r="AD40" i="4"/>
  <c r="AG40" i="4" s="1"/>
  <c r="AH40" i="4" s="1"/>
  <c r="T147" i="4"/>
  <c r="U17" i="4"/>
  <c r="V79" i="4"/>
  <c r="U76" i="4"/>
  <c r="T68" i="4"/>
  <c r="T173" i="4"/>
  <c r="Y47" i="4"/>
  <c r="Z47" i="4" s="1"/>
  <c r="W124" i="4"/>
  <c r="W47" i="4"/>
  <c r="U58" i="4"/>
  <c r="V47" i="4"/>
  <c r="W58" i="4"/>
  <c r="Z58" i="4"/>
  <c r="V58" i="4"/>
  <c r="W44" i="4"/>
  <c r="U47" i="4"/>
  <c r="AD58" i="4"/>
  <c r="AG58" i="4" s="1"/>
  <c r="AH58" i="4" s="1"/>
  <c r="AD79" i="4"/>
  <c r="AG79" i="4" s="1"/>
  <c r="AH79" i="4" s="1"/>
  <c r="Y76" i="4"/>
  <c r="Z76" i="4" s="1"/>
  <c r="W64" i="4"/>
  <c r="AA17" i="4"/>
  <c r="V17" i="4"/>
  <c r="AD76" i="4"/>
  <c r="AG76" i="4" s="1"/>
  <c r="AH76" i="4" s="1"/>
  <c r="W38" i="4"/>
  <c r="Z65" i="4"/>
  <c r="T65" i="4"/>
  <c r="AD65" i="4"/>
  <c r="AG65" i="4" s="1"/>
  <c r="AH65" i="4" s="1"/>
  <c r="AA165" i="4"/>
  <c r="AD165" i="4"/>
  <c r="AG165" i="4" s="1"/>
  <c r="AH165" i="4" s="1"/>
  <c r="AD97" i="4"/>
  <c r="AG97" i="4" s="1"/>
  <c r="AH97" i="4" s="1"/>
  <c r="V165" i="4"/>
  <c r="AD7" i="4"/>
  <c r="AG7" i="4" s="1"/>
  <c r="AH7" i="4" s="1"/>
  <c r="U165" i="4"/>
  <c r="V65" i="4"/>
  <c r="T33" i="4"/>
  <c r="Y139" i="4"/>
  <c r="Z139" i="4" s="1"/>
  <c r="T83" i="4"/>
  <c r="U65" i="4"/>
  <c r="AA77" i="4"/>
  <c r="T89" i="4"/>
  <c r="AA141" i="4"/>
  <c r="Z78" i="4"/>
  <c r="W78" i="4"/>
  <c r="W141" i="4"/>
  <c r="V77" i="4"/>
  <c r="AA7" i="4"/>
  <c r="U158" i="4"/>
  <c r="AD77" i="4"/>
  <c r="AG77" i="4" s="1"/>
  <c r="AH77" i="4" s="1"/>
  <c r="U56" i="4"/>
  <c r="U97" i="4"/>
  <c r="Y67" i="4"/>
  <c r="Z67" i="4" s="1"/>
  <c r="Y16" i="4"/>
  <c r="AA16" i="4" s="1"/>
  <c r="U77" i="4"/>
  <c r="V141" i="4"/>
  <c r="U78" i="4"/>
  <c r="U141" i="4"/>
  <c r="V78" i="4"/>
  <c r="AD78" i="4"/>
  <c r="AG78" i="4" s="1"/>
  <c r="AH78" i="4" s="1"/>
  <c r="AD141" i="4"/>
  <c r="AG141" i="4" s="1"/>
  <c r="AH141" i="4" s="1"/>
  <c r="W103" i="4"/>
  <c r="T146" i="4"/>
  <c r="V158" i="4"/>
  <c r="W50" i="4"/>
  <c r="U7" i="4"/>
  <c r="T157" i="4"/>
  <c r="Z158" i="4"/>
  <c r="Z115" i="4"/>
  <c r="Z51" i="4"/>
  <c r="V9" i="4"/>
  <c r="AD115" i="4"/>
  <c r="AG115" i="4" s="1"/>
  <c r="AH115" i="4" s="1"/>
  <c r="T107" i="4"/>
  <c r="AD158" i="4"/>
  <c r="AG158" i="4" s="1"/>
  <c r="AH158" i="4" s="1"/>
  <c r="W30" i="4"/>
  <c r="V7" i="4"/>
  <c r="AD30" i="4"/>
  <c r="AG30" i="4" s="1"/>
  <c r="AH30" i="4" s="1"/>
  <c r="V97" i="4"/>
  <c r="Y56" i="4"/>
  <c r="Z56" i="4" s="1"/>
  <c r="Z144" i="4"/>
  <c r="AA39" i="4"/>
  <c r="AD56" i="4"/>
  <c r="AG56" i="4" s="1"/>
  <c r="AH56" i="4" s="1"/>
  <c r="U139" i="4"/>
  <c r="T171" i="4"/>
  <c r="Z9" i="4"/>
  <c r="AA25" i="4"/>
  <c r="V16" i="4"/>
  <c r="V139" i="4"/>
  <c r="T54" i="4"/>
  <c r="T132" i="4"/>
  <c r="Z97" i="4"/>
  <c r="U16" i="4"/>
  <c r="V45" i="4"/>
  <c r="U159" i="4"/>
  <c r="Z45" i="4"/>
  <c r="U99" i="4"/>
  <c r="T53" i="4"/>
  <c r="U137" i="4"/>
  <c r="V136" i="4"/>
  <c r="T76" i="4"/>
  <c r="AA99" i="4"/>
  <c r="AD45" i="4"/>
  <c r="AG45" i="4" s="1"/>
  <c r="AH45" i="4" s="1"/>
  <c r="T29" i="4"/>
  <c r="Z159" i="4"/>
  <c r="V99" i="4"/>
  <c r="AD121" i="4"/>
  <c r="AG121" i="4" s="1"/>
  <c r="AH121" i="4" s="1"/>
  <c r="U45" i="4"/>
  <c r="AD159" i="4"/>
  <c r="AG159" i="4" s="1"/>
  <c r="AH159" i="4" s="1"/>
  <c r="V138" i="4"/>
  <c r="AD99" i="4"/>
  <c r="AG99" i="4" s="1"/>
  <c r="AH99" i="4" s="1"/>
  <c r="AD80" i="4"/>
  <c r="AG80" i="4" s="1"/>
  <c r="AH80" i="4" s="1"/>
  <c r="W36" i="4"/>
  <c r="V159" i="4"/>
  <c r="T164" i="4"/>
  <c r="V36" i="4"/>
  <c r="W16" i="4"/>
  <c r="AD168" i="4"/>
  <c r="AG168" i="4" s="1"/>
  <c r="AH168" i="4" s="1"/>
  <c r="V164" i="4"/>
  <c r="U161" i="4"/>
  <c r="W82" i="4"/>
  <c r="Z128" i="4"/>
  <c r="AD128" i="4"/>
  <c r="AG128" i="4" s="1"/>
  <c r="AH128" i="4" s="1"/>
  <c r="V57" i="4"/>
  <c r="T80" i="4"/>
  <c r="AD90" i="4"/>
  <c r="AG90" i="4" s="1"/>
  <c r="AH90" i="4" s="1"/>
  <c r="V30" i="4"/>
  <c r="AA90" i="4"/>
  <c r="U57" i="4"/>
  <c r="V31" i="4"/>
  <c r="Y30" i="4"/>
  <c r="Z30" i="4" s="1"/>
  <c r="AA105" i="4"/>
  <c r="V115" i="4"/>
  <c r="T137" i="4"/>
  <c r="AD20" i="4"/>
  <c r="AG20" i="4" s="1"/>
  <c r="AH20" i="4" s="1"/>
  <c r="Z57" i="4"/>
  <c r="Y103" i="4"/>
  <c r="Z103" i="4" s="1"/>
  <c r="U90" i="4"/>
  <c r="AD51" i="4"/>
  <c r="AG51" i="4" s="1"/>
  <c r="AH51" i="4" s="1"/>
  <c r="W12" i="4"/>
  <c r="Y62" i="4"/>
  <c r="AA62" i="4" s="1"/>
  <c r="AD57" i="4"/>
  <c r="AG57" i="4" s="1"/>
  <c r="AH57" i="4" s="1"/>
  <c r="U115" i="4"/>
  <c r="AD62" i="4"/>
  <c r="AG62" i="4" s="1"/>
  <c r="AH62" i="4" s="1"/>
  <c r="V90" i="4"/>
  <c r="V105" i="4"/>
  <c r="V51" i="4"/>
  <c r="U103" i="4"/>
  <c r="V161" i="4"/>
  <c r="W97" i="4"/>
  <c r="AA36" i="4"/>
  <c r="W62" i="4"/>
  <c r="Z136" i="4"/>
  <c r="V175" i="4"/>
  <c r="W48" i="4"/>
  <c r="Y175" i="4"/>
  <c r="AA175" i="4" s="1"/>
  <c r="AD36" i="4"/>
  <c r="AG36" i="4" s="1"/>
  <c r="AH36" i="4" s="1"/>
  <c r="AD161" i="4"/>
  <c r="AG161" i="4" s="1"/>
  <c r="AH161" i="4" s="1"/>
  <c r="U175" i="4"/>
  <c r="AD164" i="4"/>
  <c r="AG164" i="4" s="1"/>
  <c r="AH164" i="4" s="1"/>
  <c r="U136" i="4"/>
  <c r="U36" i="4"/>
  <c r="Y164" i="4"/>
  <c r="AA164" i="4" s="1"/>
  <c r="T145" i="4"/>
  <c r="V121" i="4"/>
  <c r="V172" i="4"/>
  <c r="AD138" i="4"/>
  <c r="AG138" i="4" s="1"/>
  <c r="AH138" i="4" s="1"/>
  <c r="V29" i="4"/>
  <c r="V118" i="4"/>
  <c r="Y29" i="4"/>
  <c r="AA29" i="4" s="1"/>
  <c r="U121" i="4"/>
  <c r="Z138" i="4"/>
  <c r="U80" i="4"/>
  <c r="Y48" i="4"/>
  <c r="AA48" i="4" s="1"/>
  <c r="W161" i="4"/>
  <c r="AD29" i="4"/>
  <c r="AG29" i="4" s="1"/>
  <c r="AH29" i="4" s="1"/>
  <c r="Y150" i="4"/>
  <c r="Z150" i="4" s="1"/>
  <c r="U126" i="4"/>
  <c r="Y172" i="4"/>
  <c r="AA172" i="4" s="1"/>
  <c r="V80" i="4"/>
  <c r="U138" i="4"/>
  <c r="U150" i="4"/>
  <c r="V48" i="4"/>
  <c r="U144" i="4"/>
  <c r="T67" i="4"/>
  <c r="U67" i="4"/>
  <c r="W19" i="4"/>
  <c r="AD25" i="4"/>
  <c r="AG25" i="4" s="1"/>
  <c r="AH25" i="4" s="1"/>
  <c r="V25" i="4"/>
  <c r="AD39" i="4"/>
  <c r="AG39" i="4" s="1"/>
  <c r="AH39" i="4" s="1"/>
  <c r="AA137" i="4"/>
  <c r="U25" i="4"/>
  <c r="AA59" i="4"/>
  <c r="AA20" i="4"/>
  <c r="Y129" i="4"/>
  <c r="Z129" i="4" s="1"/>
  <c r="U172" i="4"/>
  <c r="U105" i="4"/>
  <c r="AA87" i="4"/>
  <c r="W126" i="4"/>
  <c r="W5" i="4"/>
  <c r="AD31" i="4"/>
  <c r="AG31" i="4" s="1"/>
  <c r="AH31" i="4" s="1"/>
  <c r="AD9" i="4"/>
  <c r="AG9" i="4" s="1"/>
  <c r="AH9" i="4" s="1"/>
  <c r="V126" i="4"/>
  <c r="AD92" i="4"/>
  <c r="AG92" i="4" s="1"/>
  <c r="AH92" i="4" s="1"/>
  <c r="U62" i="4"/>
  <c r="V20" i="4"/>
  <c r="AA31" i="4"/>
  <c r="AD59" i="4"/>
  <c r="AG59" i="4" s="1"/>
  <c r="AH59" i="4" s="1"/>
  <c r="AA126" i="4"/>
  <c r="Z94" i="4"/>
  <c r="U51" i="4"/>
  <c r="AD103" i="4"/>
  <c r="AG103" i="4" s="1"/>
  <c r="AH103" i="4" s="1"/>
  <c r="W122" i="4"/>
  <c r="V144" i="4"/>
  <c r="U87" i="4"/>
  <c r="W172" i="4"/>
  <c r="T156" i="4"/>
  <c r="U48" i="4"/>
  <c r="T94" i="4"/>
  <c r="AD126" i="4"/>
  <c r="AG126" i="4" s="1"/>
  <c r="AH126" i="4" s="1"/>
  <c r="V59" i="4"/>
  <c r="AD87" i="4"/>
  <c r="AG87" i="4" s="1"/>
  <c r="AH87" i="4" s="1"/>
  <c r="AD150" i="4"/>
  <c r="AG150" i="4" s="1"/>
  <c r="AH150" i="4" s="1"/>
  <c r="U129" i="4"/>
  <c r="AD129" i="4"/>
  <c r="AG129" i="4" s="1"/>
  <c r="AH129" i="4" s="1"/>
  <c r="V137" i="4"/>
  <c r="AD137" i="4"/>
  <c r="AG137" i="4" s="1"/>
  <c r="AH137" i="4" s="1"/>
  <c r="U31" i="4"/>
  <c r="U9" i="4"/>
  <c r="U20" i="4"/>
  <c r="U59" i="4"/>
  <c r="AD105" i="4"/>
  <c r="AG105" i="4" s="1"/>
  <c r="AH105" i="4" s="1"/>
  <c r="AD144" i="4"/>
  <c r="AG144" i="4" s="1"/>
  <c r="AH144" i="4" s="1"/>
  <c r="V87" i="4"/>
  <c r="U134" i="4"/>
  <c r="AD67" i="4"/>
  <c r="AG67" i="4" s="1"/>
  <c r="AH67" i="4" s="1"/>
  <c r="AD136" i="4"/>
  <c r="AG136" i="4" s="1"/>
  <c r="AH136" i="4" s="1"/>
  <c r="W99" i="4"/>
  <c r="W140" i="4"/>
  <c r="U128" i="4"/>
  <c r="V39" i="4"/>
  <c r="W152" i="4"/>
  <c r="T174" i="4"/>
  <c r="T110" i="4"/>
  <c r="V128" i="4"/>
  <c r="AA89" i="4"/>
  <c r="U39" i="4"/>
  <c r="V89" i="4"/>
  <c r="W118" i="4"/>
  <c r="AD146" i="4"/>
  <c r="AG146" i="4" s="1"/>
  <c r="AH146" i="4" s="1"/>
  <c r="T98" i="4"/>
  <c r="AD89" i="4"/>
  <c r="AG89" i="4" s="1"/>
  <c r="AH89" i="4" s="1"/>
  <c r="Y146" i="4"/>
  <c r="Z146" i="4" s="1"/>
  <c r="V111" i="4"/>
  <c r="U89" i="4"/>
  <c r="Y22" i="4"/>
  <c r="V22" i="4"/>
  <c r="U22" i="4"/>
  <c r="AD22" i="4"/>
  <c r="AG22" i="4" s="1"/>
  <c r="AH22" i="4" s="1"/>
  <c r="V101" i="4"/>
  <c r="U168" i="4"/>
  <c r="AD73" i="4"/>
  <c r="AG73" i="4" s="1"/>
  <c r="AH73" i="4" s="1"/>
  <c r="W74" i="4"/>
  <c r="U125" i="4"/>
  <c r="Y125" i="4"/>
  <c r="V125" i="4"/>
  <c r="AD125" i="4"/>
  <c r="AG125" i="4" s="1"/>
  <c r="AH125" i="4" s="1"/>
  <c r="Y168" i="4"/>
  <c r="Z168" i="4" s="1"/>
  <c r="U101" i="4"/>
  <c r="T144" i="4"/>
  <c r="T125" i="4"/>
  <c r="W125" i="4"/>
  <c r="V134" i="4"/>
  <c r="T22" i="4"/>
  <c r="W22" i="4"/>
  <c r="AD118" i="4"/>
  <c r="AG118" i="4" s="1"/>
  <c r="AH118" i="4" s="1"/>
  <c r="AD110" i="4"/>
  <c r="AG110" i="4" s="1"/>
  <c r="AH110" i="4" s="1"/>
  <c r="V146" i="4"/>
  <c r="U111" i="4"/>
  <c r="Z118" i="4"/>
  <c r="T31" i="4"/>
  <c r="Z111" i="4"/>
  <c r="AA110" i="4"/>
  <c r="W111" i="4"/>
  <c r="U110" i="4"/>
  <c r="V110" i="4"/>
  <c r="AD111" i="4"/>
  <c r="AG111" i="4" s="1"/>
  <c r="AH111" i="4" s="1"/>
  <c r="AD101" i="4"/>
  <c r="AG101" i="4" s="1"/>
  <c r="AH101" i="4" s="1"/>
  <c r="AD134" i="4"/>
  <c r="AG134" i="4" s="1"/>
  <c r="AH134" i="4" s="1"/>
  <c r="U73" i="4"/>
  <c r="AA101" i="4"/>
  <c r="T21" i="4"/>
  <c r="AA134" i="4"/>
  <c r="AA73" i="4"/>
  <c r="V73" i="4"/>
  <c r="Y92" i="4"/>
  <c r="AA92" i="4" s="1"/>
  <c r="T6" i="4"/>
  <c r="V92" i="4"/>
  <c r="W88" i="4"/>
  <c r="T88" i="4"/>
  <c r="W163" i="4"/>
  <c r="V88" i="4"/>
  <c r="AD88" i="4"/>
  <c r="AG88" i="4" s="1"/>
  <c r="AH88" i="4" s="1"/>
  <c r="Y88" i="4"/>
  <c r="U88" i="4"/>
  <c r="U118" i="4"/>
  <c r="W128" i="4"/>
  <c r="AN178" i="5"/>
  <c r="AA40" i="4"/>
  <c r="R177" i="13"/>
  <c r="U177" i="13"/>
  <c r="H13" i="1" s="1"/>
  <c r="AA166" i="4"/>
  <c r="Z166" i="4"/>
  <c r="AA4" i="4"/>
  <c r="Z4" i="4"/>
  <c r="T4" i="4"/>
  <c r="W4" i="4"/>
  <c r="S177" i="4"/>
  <c r="Z152" i="4"/>
  <c r="AA152" i="4"/>
  <c r="AA114" i="4"/>
  <c r="Z114" i="4"/>
  <c r="Z53" i="4"/>
  <c r="AA53" i="4"/>
  <c r="AA61" i="4"/>
  <c r="Z61" i="4"/>
  <c r="AA100" i="4"/>
  <c r="Z100" i="4"/>
  <c r="Z157" i="4"/>
  <c r="AA157" i="4"/>
  <c r="AA121" i="4"/>
  <c r="Z121" i="4"/>
  <c r="AA161" i="4"/>
  <c r="Z161" i="4"/>
  <c r="AA132" i="4"/>
  <c r="Z132" i="4"/>
  <c r="AA10" i="4"/>
  <c r="Z10" i="4"/>
  <c r="T3" i="13"/>
  <c r="T177" i="13" s="1"/>
  <c r="S177" i="13"/>
  <c r="N177" i="4"/>
  <c r="O22" i="4"/>
  <c r="O49" i="4"/>
  <c r="O19" i="4"/>
  <c r="O129" i="4"/>
  <c r="O88" i="4"/>
  <c r="O25" i="4"/>
  <c r="O94" i="4"/>
  <c r="O40" i="4"/>
  <c r="O125" i="4"/>
  <c r="O26" i="4"/>
  <c r="O115" i="4"/>
  <c r="O112" i="4"/>
  <c r="O159" i="4"/>
  <c r="O140" i="4"/>
  <c r="O97" i="4"/>
  <c r="O137" i="4"/>
  <c r="O118" i="4"/>
  <c r="O82" i="4"/>
  <c r="O98" i="4"/>
  <c r="O153" i="4"/>
  <c r="O16" i="4"/>
  <c r="O24" i="4"/>
  <c r="O149" i="4"/>
  <c r="O87" i="4"/>
  <c r="O91" i="4"/>
  <c r="O58" i="4"/>
  <c r="O18" i="4"/>
  <c r="O128" i="4"/>
  <c r="O17" i="4"/>
  <c r="O64" i="4"/>
  <c r="O86" i="4"/>
  <c r="O148" i="4"/>
  <c r="O174" i="4"/>
  <c r="O66" i="4"/>
  <c r="O11" i="4"/>
  <c r="O78" i="4"/>
  <c r="O160" i="4"/>
  <c r="O141" i="4"/>
  <c r="O65" i="4"/>
  <c r="O81" i="4"/>
  <c r="O72" i="4"/>
  <c r="O155" i="4"/>
  <c r="O127" i="4"/>
  <c r="O6" i="4"/>
  <c r="O85" i="4"/>
  <c r="O43" i="4"/>
  <c r="O99" i="4"/>
  <c r="O89" i="4"/>
  <c r="O165" i="4"/>
  <c r="O68" i="4"/>
  <c r="O135" i="4"/>
  <c r="O38" i="4"/>
  <c r="O124" i="4"/>
  <c r="O105" i="4"/>
  <c r="O162" i="4"/>
  <c r="O21" i="4"/>
  <c r="O117" i="4"/>
  <c r="O175" i="4"/>
  <c r="O121" i="4"/>
  <c r="O76" i="4"/>
  <c r="O34" i="4"/>
  <c r="O32" i="4"/>
  <c r="O45" i="4"/>
  <c r="O8" i="4"/>
  <c r="O51" i="4"/>
  <c r="O108" i="4"/>
  <c r="O123" i="4"/>
  <c r="O158" i="4"/>
  <c r="O59" i="4"/>
  <c r="O44" i="4"/>
  <c r="O9" i="4"/>
  <c r="O136" i="4"/>
  <c r="O48" i="4"/>
  <c r="O154" i="4"/>
  <c r="O52" i="4"/>
  <c r="O84" i="4"/>
  <c r="O152" i="4"/>
  <c r="O147" i="4"/>
  <c r="O63" i="4"/>
  <c r="O37" i="4"/>
  <c r="O42" i="4"/>
  <c r="O62" i="4"/>
  <c r="O170" i="4"/>
  <c r="O143" i="4"/>
  <c r="O47" i="4"/>
  <c r="O168" i="4"/>
  <c r="O102" i="4"/>
  <c r="O114" i="4"/>
  <c r="O150" i="4"/>
  <c r="O54" i="4"/>
  <c r="O107" i="4"/>
  <c r="O116" i="4"/>
  <c r="O12" i="4"/>
  <c r="O53" i="4"/>
  <c r="O67" i="4"/>
  <c r="O30" i="4"/>
  <c r="O61" i="4"/>
  <c r="O100" i="4"/>
  <c r="O56" i="4"/>
  <c r="O75" i="4"/>
  <c r="O96" i="4"/>
  <c r="O29" i="4"/>
  <c r="O169" i="4"/>
  <c r="O92" i="4"/>
  <c r="O74" i="4"/>
  <c r="O157" i="4"/>
  <c r="O172" i="4"/>
  <c r="O164" i="4"/>
  <c r="O50" i="4"/>
  <c r="O161" i="4"/>
  <c r="O166" i="4"/>
  <c r="O71" i="4"/>
  <c r="O151" i="4"/>
  <c r="O23" i="4"/>
  <c r="O101" i="4"/>
  <c r="O80" i="4"/>
  <c r="O3" i="4"/>
  <c r="O167" i="4"/>
  <c r="O70" i="4"/>
  <c r="O133" i="4"/>
  <c r="O113" i="4"/>
  <c r="O104" i="4"/>
  <c r="O27" i="4"/>
  <c r="O93" i="4"/>
  <c r="O138" i="4"/>
  <c r="O156" i="4"/>
  <c r="O173" i="4"/>
  <c r="O106" i="4"/>
  <c r="O46" i="4"/>
  <c r="O57" i="4"/>
  <c r="O119" i="4"/>
  <c r="O144" i="4"/>
  <c r="O95" i="4"/>
  <c r="O31" i="4"/>
  <c r="O171" i="4"/>
  <c r="O7" i="4"/>
  <c r="O35" i="4"/>
  <c r="O163" i="4"/>
  <c r="O14" i="4"/>
  <c r="O39" i="4"/>
  <c r="O142" i="4"/>
  <c r="O77" i="4"/>
  <c r="O79" i="4"/>
  <c r="O60" i="4"/>
  <c r="O126" i="4"/>
  <c r="O145" i="4"/>
  <c r="O10" i="4"/>
  <c r="O103" i="4"/>
  <c r="O146" i="4"/>
  <c r="O36" i="4"/>
  <c r="O5" i="4"/>
  <c r="O132" i="4"/>
  <c r="O69" i="4"/>
  <c r="O55" i="4"/>
  <c r="O122" i="4"/>
  <c r="O41" i="4"/>
  <c r="O28" i="4"/>
  <c r="O139" i="4"/>
  <c r="O33" i="4"/>
  <c r="O13" i="4"/>
  <c r="O15" i="4"/>
  <c r="O130" i="4"/>
  <c r="O134" i="4"/>
  <c r="O20" i="4"/>
  <c r="O131" i="4"/>
  <c r="O83" i="4"/>
  <c r="O109" i="4"/>
  <c r="O120" i="4"/>
  <c r="O73" i="4"/>
  <c r="O90" i="4"/>
  <c r="O111" i="4"/>
  <c r="O110" i="4"/>
  <c r="Z42" i="4"/>
  <c r="AA42" i="4"/>
  <c r="AA54" i="4"/>
  <c r="Z54" i="4"/>
  <c r="AD4" i="4"/>
  <c r="V4" i="4"/>
  <c r="U4" i="4"/>
  <c r="Q177" i="4"/>
  <c r="Q178" i="4" s="1"/>
  <c r="AA170" i="4"/>
  <c r="Z170" i="4"/>
  <c r="Z143" i="4"/>
  <c r="AA143" i="4"/>
  <c r="Z145" i="4"/>
  <c r="AA145" i="4"/>
  <c r="AA37" i="4"/>
  <c r="Z37" i="4"/>
  <c r="AA116" i="4"/>
  <c r="Z116" i="4"/>
  <c r="AA96" i="4"/>
  <c r="Z96" i="4"/>
  <c r="AA34" i="4"/>
  <c r="Z34" i="4"/>
  <c r="Z63" i="4"/>
  <c r="AA63" i="4"/>
  <c r="AA107" i="4"/>
  <c r="Z107" i="4"/>
  <c r="Z12" i="4"/>
  <c r="AA12" i="4"/>
  <c r="AA169" i="4"/>
  <c r="Z169" i="4"/>
  <c r="AA74" i="4"/>
  <c r="Z74" i="4"/>
  <c r="AA76" i="4"/>
  <c r="Z13" i="4"/>
  <c r="AA13" i="4"/>
  <c r="AA113" i="4"/>
  <c r="Z113" i="4"/>
  <c r="Z46" i="4"/>
  <c r="AA46" i="4"/>
  <c r="O4" i="4"/>
  <c r="AE4" i="4"/>
  <c r="AC177" i="4"/>
  <c r="AC178" i="4" s="1"/>
  <c r="AA75" i="4" l="1"/>
  <c r="AA102" i="4"/>
  <c r="AA84" i="4"/>
  <c r="AA47" i="4"/>
  <c r="AA71" i="4"/>
  <c r="Z32" i="4"/>
  <c r="AA147" i="4"/>
  <c r="AA67" i="4"/>
  <c r="AA139" i="4"/>
  <c r="Z16" i="4"/>
  <c r="AA56" i="4"/>
  <c r="AA150" i="4"/>
  <c r="AA103" i="4"/>
  <c r="Z62" i="4"/>
  <c r="AA146" i="4"/>
  <c r="Z48" i="4"/>
  <c r="AA30" i="4"/>
  <c r="Z29" i="4"/>
  <c r="Z164" i="4"/>
  <c r="Z175" i="4"/>
  <c r="AA168" i="4"/>
  <c r="Z172" i="4"/>
  <c r="U177" i="4"/>
  <c r="Z92" i="4"/>
  <c r="AA129" i="4"/>
  <c r="Y177" i="4"/>
  <c r="Y178" i="4" s="1"/>
  <c r="V177" i="4"/>
  <c r="U178" i="13"/>
  <c r="H14" i="1" s="1"/>
  <c r="AA125" i="4"/>
  <c r="Z125" i="4"/>
  <c r="T177" i="4"/>
  <c r="AA22" i="4"/>
  <c r="Z22" i="4"/>
  <c r="AA88" i="4"/>
  <c r="Z88" i="4"/>
  <c r="T178" i="13"/>
  <c r="H17" i="1" s="1"/>
  <c r="H16" i="1"/>
  <c r="AG4" i="4"/>
  <c r="AD177" i="4"/>
  <c r="AD178" i="4" s="1"/>
  <c r="AF4" i="4"/>
  <c r="AE177" i="4"/>
  <c r="O177" i="4"/>
  <c r="Z177" i="4" l="1"/>
  <c r="AA177" i="4"/>
  <c r="T178" i="4" s="1"/>
  <c r="AH4" i="4"/>
  <c r="AG177" i="4"/>
  <c r="AA178" i="4" l="1"/>
</calcChain>
</file>

<file path=xl/comments1.xml><?xml version="1.0" encoding="utf-8"?>
<comments xmlns="http://schemas.openxmlformats.org/spreadsheetml/2006/main">
  <authors>
    <author>Justin Silverstein</author>
  </authors>
  <commentList>
    <comment ref="BU3" authorId="0" shapeId="0">
      <text>
        <r>
          <rPr>
            <b/>
            <sz val="9"/>
            <color indexed="81"/>
            <rFont val="Tahoma"/>
            <family val="2"/>
          </rPr>
          <t>Justin Silverstein:</t>
        </r>
        <r>
          <rPr>
            <sz val="9"/>
            <color indexed="81"/>
            <rFont val="Tahoma"/>
            <family val="2"/>
          </rPr>
          <t xml:space="preserve">
using 10% of ADA on calculations
</t>
        </r>
      </text>
    </comment>
    <comment ref="BK170" authorId="0" shapeId="0">
      <text>
        <r>
          <rPr>
            <b/>
            <sz val="9"/>
            <color indexed="81"/>
            <rFont val="Tahoma"/>
            <family val="2"/>
          </rPr>
          <t>Justin Silverstein:</t>
        </r>
        <r>
          <rPr>
            <sz val="9"/>
            <color indexed="81"/>
            <rFont val="Tahoma"/>
            <family val="2"/>
          </rPr>
          <t xml:space="preserve">
Assuming even split of 6 kids from SpEd data for these two charters
</t>
        </r>
      </text>
    </comment>
    <comment ref="BK171" authorId="0" shapeId="0">
      <text>
        <r>
          <rPr>
            <b/>
            <sz val="9"/>
            <color rgb="FF000000"/>
            <rFont val="Tahoma"/>
            <family val="2"/>
          </rPr>
          <t>Justin Silverstein:</t>
        </r>
        <r>
          <rPr>
            <sz val="9"/>
            <color rgb="FF000000"/>
            <rFont val="Tahoma"/>
            <family val="2"/>
          </rPr>
          <t xml:space="preserve">
</t>
        </r>
        <r>
          <rPr>
            <sz val="9"/>
            <color rgb="FF000000"/>
            <rFont val="Tahoma"/>
            <family val="2"/>
          </rPr>
          <t xml:space="preserve">Assuming even split of 6 kids from these two charters
</t>
        </r>
      </text>
    </comment>
  </commentList>
</comments>
</file>

<file path=xl/comments2.xml><?xml version="1.0" encoding="utf-8"?>
<comments xmlns="http://schemas.openxmlformats.org/spreadsheetml/2006/main">
  <authors>
    <author>Tim HIll</author>
  </authors>
  <commentList>
    <comment ref="D168" authorId="0" shapeId="0">
      <text>
        <r>
          <rPr>
            <b/>
            <sz val="9"/>
            <color rgb="FF000000"/>
            <rFont val="Tahoma"/>
            <family val="2"/>
          </rPr>
          <t>Tim Hill:</t>
        </r>
        <r>
          <rPr>
            <sz val="9"/>
            <color rgb="FF000000"/>
            <rFont val="Tahoma"/>
            <family val="2"/>
          </rPr>
          <t xml:space="preserve">
</t>
        </r>
        <r>
          <rPr>
            <sz val="9"/>
            <color rgb="FF000000"/>
            <rFont val="Tahoma"/>
            <family val="2"/>
          </rPr>
          <t>Average Charter School</t>
        </r>
      </text>
    </comment>
    <comment ref="D171" authorId="0" shapeId="0">
      <text>
        <r>
          <rPr>
            <b/>
            <sz val="9"/>
            <color indexed="81"/>
            <rFont val="Tahoma"/>
            <family val="2"/>
          </rPr>
          <t>Tim Hill:</t>
        </r>
        <r>
          <rPr>
            <sz val="9"/>
            <color indexed="81"/>
            <rFont val="Tahoma"/>
            <family val="2"/>
          </rPr>
          <t xml:space="preserve">
Average Charter School</t>
        </r>
      </text>
    </comment>
  </commentList>
</comments>
</file>

<file path=xl/sharedStrings.xml><?xml version="1.0" encoding="utf-8"?>
<sst xmlns="http://schemas.openxmlformats.org/spreadsheetml/2006/main" count="1905" uniqueCount="883">
  <si>
    <t>At-Risk</t>
  </si>
  <si>
    <t>At-Risk Count</t>
  </si>
  <si>
    <t>English Language Learners</t>
  </si>
  <si>
    <t>Special Education</t>
  </si>
  <si>
    <t>Grade Weights</t>
  </si>
  <si>
    <t>ELL</t>
  </si>
  <si>
    <t>Gifted</t>
  </si>
  <si>
    <t>K-3</t>
  </si>
  <si>
    <t>base count</t>
  </si>
  <si>
    <t>9-12</t>
  </si>
  <si>
    <t>Total Weighted Pupils</t>
  </si>
  <si>
    <t>Boise Independent School District # 001</t>
  </si>
  <si>
    <t>West Ada Joint School District # 002</t>
  </si>
  <si>
    <t>Kuna Joint School District # 003</t>
  </si>
  <si>
    <t>Meadows Valley School District # 011</t>
  </si>
  <si>
    <t>Council School District # 013</t>
  </si>
  <si>
    <t>Marsh Valley Joint School District # 021</t>
  </si>
  <si>
    <t>Pocatello School District # 025</t>
  </si>
  <si>
    <t>Bear Lake County School District # 033</t>
  </si>
  <si>
    <t>St. Maries Joint School District # 041</t>
  </si>
  <si>
    <t>Plummer / Worley Joint School District # 044</t>
  </si>
  <si>
    <t>Snake River School District # 052</t>
  </si>
  <si>
    <t>Blackfoot School District # 055</t>
  </si>
  <si>
    <t>Aberdeen School District # 058</t>
  </si>
  <si>
    <t>Firth School District # 059</t>
  </si>
  <si>
    <t>Shelley Joint School District # 060</t>
  </si>
  <si>
    <t>Blaine County School District # 061</t>
  </si>
  <si>
    <t>Garden Valley School District # 071</t>
  </si>
  <si>
    <t>Basin School District # 072</t>
  </si>
  <si>
    <t>Horseshoe Bend School District # 073</t>
  </si>
  <si>
    <t>West Bonner County School District # 083</t>
  </si>
  <si>
    <t>Lake Pend Oreille School District # 084</t>
  </si>
  <si>
    <t>Idaho Falls School District # 091</t>
  </si>
  <si>
    <t>Swan Valley Elementary School District # 092</t>
  </si>
  <si>
    <t>Bonneville Joint School District # 093</t>
  </si>
  <si>
    <t>Boundary County School District # 101</t>
  </si>
  <si>
    <t>Butte County Joint School District # 111</t>
  </si>
  <si>
    <t>Camas County School District # 121</t>
  </si>
  <si>
    <t>Nampa School District # 131</t>
  </si>
  <si>
    <t>Caldwell School District # 132</t>
  </si>
  <si>
    <t>Wilder School District # 133</t>
  </si>
  <si>
    <t>Middleton School District # 134</t>
  </si>
  <si>
    <t>Notus School District # 135</t>
  </si>
  <si>
    <t>Melba Joint School District # 136</t>
  </si>
  <si>
    <t>Parma School District # 137</t>
  </si>
  <si>
    <t>Vallivue School District # 139</t>
  </si>
  <si>
    <t>Grace Joint School District # 148</t>
  </si>
  <si>
    <t>North Gem School District # 149</t>
  </si>
  <si>
    <t>Soda Springs Joint School District # 150</t>
  </si>
  <si>
    <t>Cassia County Joint School District # 151</t>
  </si>
  <si>
    <t>Clark County Joint School District # 161</t>
  </si>
  <si>
    <t>Orofino Joint School District # 171</t>
  </si>
  <si>
    <t>Challis Joint School District # 181</t>
  </si>
  <si>
    <t>Mackay Joint School District # 182</t>
  </si>
  <si>
    <t>Prairie Elementary School District # 191</t>
  </si>
  <si>
    <t>Glenns Ferry Joint School District # 192</t>
  </si>
  <si>
    <t>Mountain Home School District # 193</t>
  </si>
  <si>
    <t>Preston Joint School District # 201</t>
  </si>
  <si>
    <t>West Side Joint School District # 202</t>
  </si>
  <si>
    <t>Fremont County Joint School District # 215</t>
  </si>
  <si>
    <t>Emmett Independent School District # 221</t>
  </si>
  <si>
    <t>Gooding Joint School District # 231</t>
  </si>
  <si>
    <t>Wendell School District # 232</t>
  </si>
  <si>
    <t>Hagerman Joint School District # 233</t>
  </si>
  <si>
    <t>Bliss Joint School District # 234</t>
  </si>
  <si>
    <t>Cottonwood Joint School District # 242</t>
  </si>
  <si>
    <t>Salmon River Joint School District # 243</t>
  </si>
  <si>
    <t>Mountain View School District # 244</t>
  </si>
  <si>
    <t>Jefferson County Joint School District # 251</t>
  </si>
  <si>
    <t>Ririe Joint School District # 252</t>
  </si>
  <si>
    <t>West Jefferson School District # 253</t>
  </si>
  <si>
    <t>Jerome Joint School District # 261</t>
  </si>
  <si>
    <t>Valley School District # 262</t>
  </si>
  <si>
    <t>Coeur d' Alene School District # 271</t>
  </si>
  <si>
    <t>Lakeland School District # 272</t>
  </si>
  <si>
    <t>Post Falls School District # 273</t>
  </si>
  <si>
    <t>Kootenai Joint School District # 274</t>
  </si>
  <si>
    <t>Moscow School District # 281</t>
  </si>
  <si>
    <t>Genesee Joint School District # 282</t>
  </si>
  <si>
    <t>Kendrick Joint School District # 283</t>
  </si>
  <si>
    <t>Potlatch School District # 285</t>
  </si>
  <si>
    <t>Troy  School District # 287</t>
  </si>
  <si>
    <t>Whitepine Joint School District # 288</t>
  </si>
  <si>
    <t>Salmon School District # 291</t>
  </si>
  <si>
    <t>South Lemhi School District # 292</t>
  </si>
  <si>
    <t>Nezperce Joint School District # 302</t>
  </si>
  <si>
    <t>Kamiah Joint School District # 304</t>
  </si>
  <si>
    <t>Highland Joint School District # 305</t>
  </si>
  <si>
    <t>Shoshone Joint School District # 312</t>
  </si>
  <si>
    <t>Dietrich School District # 314</t>
  </si>
  <si>
    <t>Richfield School District # 316</t>
  </si>
  <si>
    <t>Madison School District # 321</t>
  </si>
  <si>
    <t>Sugar-Salem Joint School District # 322</t>
  </si>
  <si>
    <t>Minidoka County Joint School District # 331</t>
  </si>
  <si>
    <t>Lewiston Independent School District # 340</t>
  </si>
  <si>
    <t>Lapwai School District # 341</t>
  </si>
  <si>
    <t>Culdesac Joint School District # 342</t>
  </si>
  <si>
    <t>Oneida County School District # 351</t>
  </si>
  <si>
    <t>Marsing Joint School District # 363</t>
  </si>
  <si>
    <t>Pleasant Valley Elem. School District # 364</t>
  </si>
  <si>
    <t>Bruneau-Grand View Jt. School District # 365</t>
  </si>
  <si>
    <t>Homedale Joint School District # 370</t>
  </si>
  <si>
    <t>Payette Joint School District # 371</t>
  </si>
  <si>
    <t>New Plymouth School District # 372</t>
  </si>
  <si>
    <t>Fruitland School District # 373</t>
  </si>
  <si>
    <t>American Falls Joint School District # 381</t>
  </si>
  <si>
    <t>Rockland School District # 382</t>
  </si>
  <si>
    <t>Arbon Elementary School District # 383</t>
  </si>
  <si>
    <t>Kellogg Joint School District # 391</t>
  </si>
  <si>
    <t>Mullan School District # 392</t>
  </si>
  <si>
    <t>Wallace School District # 393</t>
  </si>
  <si>
    <t>Avery School District # 394</t>
  </si>
  <si>
    <t>Teton County School District # 401</t>
  </si>
  <si>
    <t>Twin Falls School District # 411</t>
  </si>
  <si>
    <t>Buhl Joint School District # 412</t>
  </si>
  <si>
    <t>Filer School District # 413</t>
  </si>
  <si>
    <t>Kimberly School District # 414</t>
  </si>
  <si>
    <t>Hansen School District # 415</t>
  </si>
  <si>
    <t>Three Creek Joint Elem. School District # 416</t>
  </si>
  <si>
    <t>Castleford Joint School District # 417</t>
  </si>
  <si>
    <t>Murtaugh Joint School District # 418</t>
  </si>
  <si>
    <t>McCall-Donnelly Joint School District # 421</t>
  </si>
  <si>
    <t>Cascade School District # 422</t>
  </si>
  <si>
    <t>Weiser School District # 431</t>
  </si>
  <si>
    <t>Cambridge Joint School District # 432</t>
  </si>
  <si>
    <t>Midvale School District # 433</t>
  </si>
  <si>
    <t>Victory Charter School # 451</t>
  </si>
  <si>
    <t>Idaho Virtual Academy # 452</t>
  </si>
  <si>
    <t>McKenna Charter School # 453</t>
  </si>
  <si>
    <t>Rolling Hills Charter School # 454</t>
  </si>
  <si>
    <t>Compass Public Charter School # 455</t>
  </si>
  <si>
    <t>Falcon Ridge Public Charter School # 456</t>
  </si>
  <si>
    <t>INSPIRE Connections Academy # 457</t>
  </si>
  <si>
    <t>Liberty Charter School # 458</t>
  </si>
  <si>
    <t>Connor Academy # 460</t>
  </si>
  <si>
    <t>Taylor's Crossing Public Charter School # 461</t>
  </si>
  <si>
    <t>Xavier Charter School # 462</t>
  </si>
  <si>
    <t>Vision Charter School # 463</t>
  </si>
  <si>
    <t>White Pine Charter School # 464</t>
  </si>
  <si>
    <t>North Valley Academy # 465</t>
  </si>
  <si>
    <t>iSucceed Virtual High School # 466</t>
  </si>
  <si>
    <t>Idaho Science and Technology Charter School #468</t>
  </si>
  <si>
    <t>Idaho Connects Online (ICON) #469</t>
  </si>
  <si>
    <t>Kootenai Bridge Academy #470</t>
  </si>
  <si>
    <t>Palouse Prairie Charter School #472</t>
  </si>
  <si>
    <t>The Village Charter School #473</t>
  </si>
  <si>
    <t>Monticello Montessori Charter School #474</t>
  </si>
  <si>
    <t>Sage International School of Boise #475</t>
  </si>
  <si>
    <t>Another Choice Virtual Charter School #476</t>
  </si>
  <si>
    <t>Blackfoot Charter Community Learning Center #477</t>
  </si>
  <si>
    <t>Legacy Charter School #478</t>
  </si>
  <si>
    <t>Heritage Academy #479</t>
  </si>
  <si>
    <t>STEM Charter Academy #480</t>
  </si>
  <si>
    <t>Heritage Community Charter School #481</t>
  </si>
  <si>
    <t>American Heritage Charter School #482</t>
  </si>
  <si>
    <t>Chief Tahgee Elementary Academy #483</t>
  </si>
  <si>
    <t>Bingham Academy #485</t>
  </si>
  <si>
    <t>Upper Carmen Charter School #486</t>
  </si>
  <si>
    <t>Forrest M. Bird Charter School #487</t>
  </si>
  <si>
    <t>Syringa Mountain School #488</t>
  </si>
  <si>
    <t>Idaho Technical Career Academy #489</t>
  </si>
  <si>
    <t>Idaho Distance Education Academy #490</t>
  </si>
  <si>
    <t>Coeur d' Alene Charter Academy #491</t>
  </si>
  <si>
    <t>ANSER Charter School #492</t>
  </si>
  <si>
    <t>North Star Charter School #493</t>
  </si>
  <si>
    <t>Pocatello Community Charter School #494</t>
  </si>
  <si>
    <t>Alturas International Academy #495</t>
  </si>
  <si>
    <t>Gem Prep: Pocatello #496</t>
  </si>
  <si>
    <t>Pathways in Education - Nampa #497</t>
  </si>
  <si>
    <t>COSSA Academy #555</t>
  </si>
  <si>
    <t>Thomas Jefferson Charter School #559</t>
  </si>
  <si>
    <t>SEI Tec #751</t>
  </si>
  <si>
    <t>Meridian Technical Charter High School #768</t>
  </si>
  <si>
    <t>Meridian Medical Arts Charter High School #785</t>
  </si>
  <si>
    <t>ARTEC Charter School #790</t>
  </si>
  <si>
    <t>Payette River Technical Academy #794</t>
  </si>
  <si>
    <t>Idaho Arts Charter School #795</t>
  </si>
  <si>
    <t>Gem Prep: Nampa #796</t>
  </si>
  <si>
    <t>Moscow Charter School #813</t>
  </si>
  <si>
    <t>District #1</t>
  </si>
  <si>
    <t>District # 2</t>
  </si>
  <si>
    <t>District Name 1</t>
  </si>
  <si>
    <t>District Name Two</t>
  </si>
  <si>
    <t>Average Daily Attendance Data</t>
  </si>
  <si>
    <t>Regular Grade 1</t>
  </si>
  <si>
    <t>Regular Grade 2</t>
  </si>
  <si>
    <t>Regular Grade 3</t>
  </si>
  <si>
    <t>Regular Grade 4</t>
  </si>
  <si>
    <t>Regular Grade 5</t>
  </si>
  <si>
    <t>Regular Grade 6</t>
  </si>
  <si>
    <t>Regular Grade 7</t>
  </si>
  <si>
    <t>Regular Grade 8</t>
  </si>
  <si>
    <t>Regular Grade 9</t>
  </si>
  <si>
    <t>Regular Grade 10</t>
  </si>
  <si>
    <t>Regular Grade 11</t>
  </si>
  <si>
    <t>Regular Grade 12</t>
  </si>
  <si>
    <t>Alt. High School 6</t>
  </si>
  <si>
    <t>Alt. High School 7</t>
  </si>
  <si>
    <t>Alt. High School 8</t>
  </si>
  <si>
    <t>Alt. High School 9</t>
  </si>
  <si>
    <t>Alt. High School 10</t>
  </si>
  <si>
    <t>Alt. High School 11</t>
  </si>
  <si>
    <t>Alt. High School 12</t>
  </si>
  <si>
    <t>Juvenile Detention 4</t>
  </si>
  <si>
    <t>Juvenile Detention 5</t>
  </si>
  <si>
    <t>Juvenile Detention 6</t>
  </si>
  <si>
    <t>Juvenile Detention 7</t>
  </si>
  <si>
    <t>Juvenile Detention 8</t>
  </si>
  <si>
    <t>Juvenile Detention 9</t>
  </si>
  <si>
    <t>Juvenile Detention 10</t>
  </si>
  <si>
    <t>Juvenile Detention 11</t>
  </si>
  <si>
    <t>Juvenile Detention 12</t>
  </si>
  <si>
    <t>Juvenile Summer 4</t>
  </si>
  <si>
    <t>Juvenile Summer 5</t>
  </si>
  <si>
    <t>Juvenile Summer 6</t>
  </si>
  <si>
    <t>Juvenile Summer 7</t>
  </si>
  <si>
    <t>Juvenile Summer 8</t>
  </si>
  <si>
    <t>Juvenile Summer 9</t>
  </si>
  <si>
    <t>Juvenile Summer 10</t>
  </si>
  <si>
    <t>Juvenile Summer 11</t>
  </si>
  <si>
    <t>Juvenile Summer 12</t>
  </si>
  <si>
    <t>Alt. High Summer 6</t>
  </si>
  <si>
    <t>Alt. High Summer 7</t>
  </si>
  <si>
    <t>Alt. High Summer 8</t>
  </si>
  <si>
    <t>Alt. High Summer 9</t>
  </si>
  <si>
    <t>Alt. High Summer 10</t>
  </si>
  <si>
    <t>Alt. High Summer 11</t>
  </si>
  <si>
    <t>Alt. High Summer 12</t>
  </si>
  <si>
    <t>Count from Database</t>
  </si>
  <si>
    <t>Charter Data Changes</t>
  </si>
  <si>
    <t>Data to Use</t>
  </si>
  <si>
    <t>Data To use</t>
  </si>
  <si>
    <t>ADA for Comp</t>
  </si>
  <si>
    <t>Count for Comp</t>
  </si>
  <si>
    <t>Statewide Total</t>
  </si>
  <si>
    <t>Mild</t>
  </si>
  <si>
    <t>Moderate</t>
  </si>
  <si>
    <t>Severe</t>
  </si>
  <si>
    <t>Count from Data</t>
  </si>
  <si>
    <t>**</t>
  </si>
  <si>
    <t>Current Alternative</t>
  </si>
  <si>
    <t>Gifted Calculation</t>
  </si>
  <si>
    <t>Gifted Count</t>
  </si>
  <si>
    <t>Pupil Counts</t>
  </si>
  <si>
    <t>Weighted Counts</t>
  </si>
  <si>
    <t>Base Funding</t>
  </si>
  <si>
    <t>K- 3</t>
  </si>
  <si>
    <t>Gifted Funding</t>
  </si>
  <si>
    <t>Total Funding</t>
  </si>
  <si>
    <t>Total Included In Formula</t>
  </si>
  <si>
    <t>Total not Included</t>
  </si>
  <si>
    <t>Amount Below</t>
  </si>
  <si>
    <t>Input Weight</t>
  </si>
  <si>
    <t>Input K-3 Weight</t>
  </si>
  <si>
    <t>Input 9-12 Weight</t>
  </si>
  <si>
    <t>Gifted at 10% of ADA</t>
  </si>
  <si>
    <t>Total Current Funding</t>
  </si>
  <si>
    <t>Total Included New Funding</t>
  </si>
  <si>
    <t>K-6 Students</t>
  </si>
  <si>
    <t>7-12 Students</t>
  </si>
  <si>
    <t>SDA_K6_Yes/No</t>
  </si>
  <si>
    <t>SDA_712_Yes/No</t>
  </si>
  <si>
    <t>SDA for both</t>
  </si>
  <si>
    <t>SDA K6</t>
  </si>
  <si>
    <t>SDA 7-12</t>
  </si>
  <si>
    <t>Max Weight</t>
  </si>
  <si>
    <t>Version 1</t>
  </si>
  <si>
    <t>Ver 1 SDA_K6</t>
  </si>
  <si>
    <t>Ver 1 SDA_712</t>
  </si>
  <si>
    <t>Version 2</t>
  </si>
  <si>
    <t>Break point</t>
  </si>
  <si>
    <t>Ver 2 SDA_K6</t>
  </si>
  <si>
    <t>Ver 2 SDA_712</t>
  </si>
  <si>
    <t>break point weight</t>
  </si>
  <si>
    <t>increment weight</t>
  </si>
  <si>
    <t>Max Weight at __ students</t>
  </si>
  <si>
    <t>Weighted K6 Students Ver 1</t>
  </si>
  <si>
    <t>Weighted 7-12 Students Ver 1</t>
  </si>
  <si>
    <t>Total Weighted Students Ver 1</t>
  </si>
  <si>
    <t>Weighted K6 Students Ver 2</t>
  </si>
  <si>
    <t>Weighted 7-12 Students Ver 2</t>
  </si>
  <si>
    <t>Total Weighted Students Ver 2</t>
  </si>
  <si>
    <t>Linear</t>
  </si>
  <si>
    <t>J-Curve</t>
  </si>
  <si>
    <t>Yes</t>
  </si>
  <si>
    <t>No</t>
  </si>
  <si>
    <t>Type of Adjustment</t>
  </si>
  <si>
    <t>Applied to Charters</t>
  </si>
  <si>
    <t>Total Weighted 1 No Charters</t>
  </si>
  <si>
    <t>Total Weighted 2 No Charters</t>
  </si>
  <si>
    <t>Charter Status</t>
  </si>
  <si>
    <t>Used in Model based on Front Page</t>
  </si>
  <si>
    <t>PreK</t>
  </si>
  <si>
    <t>Kindergarten</t>
  </si>
  <si>
    <t>First</t>
  </si>
  <si>
    <t>Second</t>
  </si>
  <si>
    <t>Third</t>
  </si>
  <si>
    <t>Fourth</t>
  </si>
  <si>
    <t>Fifth</t>
  </si>
  <si>
    <t>Sixth</t>
  </si>
  <si>
    <t>Seventh</t>
  </si>
  <si>
    <t>Eighth</t>
  </si>
  <si>
    <t>Ninth</t>
  </si>
  <si>
    <t>Tenth</t>
  </si>
  <si>
    <t>Eleventh</t>
  </si>
  <si>
    <t>Twelfth</t>
  </si>
  <si>
    <t>Enrollment</t>
  </si>
  <si>
    <t>Total Funded Enrollment Count</t>
  </si>
  <si>
    <t>K-3 Count</t>
  </si>
  <si>
    <t>9-12 Count</t>
  </si>
  <si>
    <t>K-6 Count for Size Adj</t>
  </si>
  <si>
    <t>7-12 Count for Size Adj.</t>
  </si>
  <si>
    <t>ADA Total</t>
  </si>
  <si>
    <t>K-6 for Size Adj</t>
  </si>
  <si>
    <t>7-12 for Size Adj</t>
  </si>
  <si>
    <t>Student Count</t>
  </si>
  <si>
    <t>Base Count</t>
  </si>
  <si>
    <t>Percentage Change</t>
  </si>
  <si>
    <t>Total New Funding Model</t>
  </si>
  <si>
    <t>Capped Gain</t>
  </si>
  <si>
    <t>Difference from Current Included WITH CAP</t>
  </si>
  <si>
    <t>Total New Funding Model WITH CAP</t>
  </si>
  <si>
    <t>Total Funding with Cap</t>
  </si>
  <si>
    <t>Cap on Annual Funding Increase</t>
  </si>
  <si>
    <t xml:space="preserve">Alternative </t>
  </si>
  <si>
    <t>Cap Vs. Un-Capped</t>
  </si>
  <si>
    <t>Kinder - Calculated at Half Day</t>
  </si>
  <si>
    <t>Adjusted ADA</t>
  </si>
  <si>
    <t>Adjusted by 5%</t>
  </si>
  <si>
    <t>Adjustment</t>
  </si>
  <si>
    <t>Transportation</t>
  </si>
  <si>
    <t>Bond Levy Equalization</t>
  </si>
  <si>
    <t>Charter School Facilities</t>
  </si>
  <si>
    <t>Leadership Premiums</t>
  </si>
  <si>
    <t>National Board Certifications</t>
  </si>
  <si>
    <t>Safe &amp; Drug-Free Schools</t>
  </si>
  <si>
    <t>Border Contracts</t>
  </si>
  <si>
    <t>District #</t>
  </si>
  <si>
    <t>District Name</t>
  </si>
  <si>
    <t>School #</t>
  </si>
  <si>
    <t>School name</t>
  </si>
  <si>
    <t xml:space="preserve">Marsh Valley </t>
  </si>
  <si>
    <t>Downey Elementary School</t>
  </si>
  <si>
    <t>Inkom Elementary School</t>
  </si>
  <si>
    <t>Lava Elementary School</t>
  </si>
  <si>
    <t>Bear Lake</t>
  </si>
  <si>
    <t>A J Winters Elementary School</t>
  </si>
  <si>
    <t>Georgetown Elementary School</t>
  </si>
  <si>
    <t>St Maries</t>
  </si>
  <si>
    <t>Upriver Elementary School</t>
  </si>
  <si>
    <t>Blackfoot</t>
  </si>
  <si>
    <t>Fort Hall Elementary School</t>
  </si>
  <si>
    <t>Blaine County</t>
  </si>
  <si>
    <t>Carey Public School</t>
  </si>
  <si>
    <t>Ernest Hemingway Steam School</t>
  </si>
  <si>
    <t>Garden Valley</t>
  </si>
  <si>
    <t>Lowman Elementary School</t>
  </si>
  <si>
    <t>West Bonner</t>
  </si>
  <si>
    <t>Priest Lake Elementary School</t>
  </si>
  <si>
    <t>Lake Pend Oreille</t>
  </si>
  <si>
    <t>Clark Fork Jr/Sr High School</t>
  </si>
  <si>
    <t>Hope Elementary School</t>
  </si>
  <si>
    <t>Boundary County</t>
  </si>
  <si>
    <t>Mount Hall Elementary School</t>
  </si>
  <si>
    <t>Butte County</t>
  </si>
  <si>
    <t>Howe Elementary School</t>
  </si>
  <si>
    <t xml:space="preserve">Grace </t>
  </si>
  <si>
    <t>Thatcher Elementary School</t>
  </si>
  <si>
    <t>Cassia County</t>
  </si>
  <si>
    <t>Oakley Jr/Sr High School</t>
  </si>
  <si>
    <t>Raft River Jr/Sr High School</t>
  </si>
  <si>
    <t>Almo Elementary School</t>
  </si>
  <si>
    <t>Raft River Elementary School</t>
  </si>
  <si>
    <t>Oakley Elementary School</t>
  </si>
  <si>
    <t>Albion Elementary School</t>
  </si>
  <si>
    <t xml:space="preserve">Orofino </t>
  </si>
  <si>
    <t>Timberline High School</t>
  </si>
  <si>
    <t>Cavendish-Teakean Elementary School</t>
  </si>
  <si>
    <t>Peck Elementary School</t>
  </si>
  <si>
    <t>Timberline Elementary School</t>
  </si>
  <si>
    <t>Challis</t>
  </si>
  <si>
    <t>Stanley Elem/Jr High School</t>
  </si>
  <si>
    <t>Patterson Elementary School (not open last year)</t>
  </si>
  <si>
    <t>Mountain Home</t>
  </si>
  <si>
    <t>Pine Elem/Jr High School</t>
  </si>
  <si>
    <t>Fremont County</t>
  </si>
  <si>
    <t>North Fremont Jr/Sr High School</t>
  </si>
  <si>
    <t>Ashton Elementary School</t>
  </si>
  <si>
    <t>Emmett</t>
  </si>
  <si>
    <t>Sweet Montour Elementary School</t>
  </si>
  <si>
    <t>Ola Elementary School</t>
  </si>
  <si>
    <t>Mountain View</t>
  </si>
  <si>
    <t xml:space="preserve">Clearwater Valley Jr/Sr </t>
  </si>
  <si>
    <t>Clearwater Valley Elementary School</t>
  </si>
  <si>
    <t>Elk City School</t>
  </si>
  <si>
    <t>West Jefferson</t>
  </si>
  <si>
    <t>Hamer Elementary School</t>
  </si>
  <si>
    <t xml:space="preserve">Lakeland </t>
  </si>
  <si>
    <t>Athol Elementary School</t>
  </si>
  <si>
    <t>Whitepine</t>
  </si>
  <si>
    <t>Bovill Elementary School</t>
  </si>
  <si>
    <t>South Lemhi</t>
  </si>
  <si>
    <t>Tendoy Elementary School</t>
  </si>
  <si>
    <t xml:space="preserve">Oneida </t>
  </si>
  <si>
    <t>Stone Elementary School</t>
  </si>
  <si>
    <t>Bruneau-Grand View</t>
  </si>
  <si>
    <t>Bruneau Elementary School</t>
  </si>
  <si>
    <t>Kellogg</t>
  </si>
  <si>
    <t>Canyon Elementary School</t>
  </si>
  <si>
    <t>Filer District</t>
  </si>
  <si>
    <t>Hollister Elementary School</t>
  </si>
  <si>
    <t>McCall-Donnelly</t>
  </si>
  <si>
    <t>Donnelly Elementary School</t>
  </si>
  <si>
    <t>Apply or Don't Apply</t>
  </si>
  <si>
    <t>Apply</t>
  </si>
  <si>
    <t>Don't Apply</t>
  </si>
  <si>
    <t>Small District Size Adjustment</t>
  </si>
  <si>
    <t>Large District Size Adjustment</t>
  </si>
  <si>
    <t>Total</t>
  </si>
  <si>
    <t>Slope</t>
  </si>
  <si>
    <t>b</t>
  </si>
  <si>
    <t>Large District Adjustment</t>
  </si>
  <si>
    <t xml:space="preserve">Gifted </t>
  </si>
  <si>
    <t>Boise Independent</t>
  </si>
  <si>
    <t>Meridian Joint</t>
  </si>
  <si>
    <t>Kuna Joint</t>
  </si>
  <si>
    <t>Meadows Valley</t>
  </si>
  <si>
    <t>Council</t>
  </si>
  <si>
    <t>Marsh Valley Joint</t>
  </si>
  <si>
    <t>Pocatello</t>
  </si>
  <si>
    <t>Bear Lake County</t>
  </si>
  <si>
    <t>St. Maries Joint</t>
  </si>
  <si>
    <t>Plummer / Worley Joint</t>
  </si>
  <si>
    <t>Snake River</t>
  </si>
  <si>
    <t>Aberdeen</t>
  </si>
  <si>
    <t>Firth</t>
  </si>
  <si>
    <t>Shelley Joint</t>
  </si>
  <si>
    <t>Basin</t>
  </si>
  <si>
    <t>Horseshoe Bend</t>
  </si>
  <si>
    <t>West Bonner County</t>
  </si>
  <si>
    <t>Idaho Falls</t>
  </si>
  <si>
    <t>Swan Valley Elementary</t>
  </si>
  <si>
    <t>Bonneville Joint</t>
  </si>
  <si>
    <t>Camas County</t>
  </si>
  <si>
    <t>Nampa</t>
  </si>
  <si>
    <t>Caldwell</t>
  </si>
  <si>
    <t>Wilder</t>
  </si>
  <si>
    <t>Middleton</t>
  </si>
  <si>
    <t>Notus</t>
  </si>
  <si>
    <t>Melba Joint</t>
  </si>
  <si>
    <t>Parma</t>
  </si>
  <si>
    <t>Vallivue</t>
  </si>
  <si>
    <t>Grace Joint</t>
  </si>
  <si>
    <t>North Gem</t>
  </si>
  <si>
    <t>Soda Springs Joint</t>
  </si>
  <si>
    <t>Cassia County Joint</t>
  </si>
  <si>
    <t>Clark County Joint</t>
  </si>
  <si>
    <t>Orofino Joint</t>
  </si>
  <si>
    <t>Challis Joint</t>
  </si>
  <si>
    <t>Mackay Joint</t>
  </si>
  <si>
    <t>Prairie Elementary</t>
  </si>
  <si>
    <t>Glenns Ferry Joint</t>
  </si>
  <si>
    <t>Preston Joint</t>
  </si>
  <si>
    <t>West Side Joint</t>
  </si>
  <si>
    <t>Fremont County Joint</t>
  </si>
  <si>
    <t>Emmett Independent</t>
  </si>
  <si>
    <t>Gooding Joint</t>
  </si>
  <si>
    <t>Wendell</t>
  </si>
  <si>
    <t>Hagerman Joint</t>
  </si>
  <si>
    <t>Bliss Joint</t>
  </si>
  <si>
    <t>Cottonwood Joint</t>
  </si>
  <si>
    <t>Salmon River</t>
  </si>
  <si>
    <t>Jefferson County Joint</t>
  </si>
  <si>
    <t>Ririe Joint</t>
  </si>
  <si>
    <t>Jerome Joint</t>
  </si>
  <si>
    <t>Valley</t>
  </si>
  <si>
    <t>Coeur d' Alene</t>
  </si>
  <si>
    <t>Lakeland</t>
  </si>
  <si>
    <t>Post Falls</t>
  </si>
  <si>
    <t>Kootenai Joint</t>
  </si>
  <si>
    <t>Moscow</t>
  </si>
  <si>
    <t>Genesee Joint</t>
  </si>
  <si>
    <t>Kendrick Joint</t>
  </si>
  <si>
    <t>Potlatch</t>
  </si>
  <si>
    <t>Troy</t>
  </si>
  <si>
    <t>Salmon</t>
  </si>
  <si>
    <t>Nezperce Joint</t>
  </si>
  <si>
    <t>Kamiah Joint</t>
  </si>
  <si>
    <t>Highland Joint</t>
  </si>
  <si>
    <t>Shoshone Joint</t>
  </si>
  <si>
    <t>Dietrich</t>
  </si>
  <si>
    <t>Richfield</t>
  </si>
  <si>
    <t>Madison</t>
  </si>
  <si>
    <t>Sugar-Salem Joint</t>
  </si>
  <si>
    <t>Minidoka County Joint</t>
  </si>
  <si>
    <t>Lewiston Independent</t>
  </si>
  <si>
    <t>Lapwai</t>
  </si>
  <si>
    <t>Culdesac Joint</t>
  </si>
  <si>
    <t>Oneida County</t>
  </si>
  <si>
    <t>Marsing Joint</t>
  </si>
  <si>
    <t>Pleasant Valley Elementary</t>
  </si>
  <si>
    <t>Bruneau-Grand View Joint</t>
  </si>
  <si>
    <t>Homedale Joint</t>
  </si>
  <si>
    <t>Payette Joint</t>
  </si>
  <si>
    <t>New Plymouth</t>
  </si>
  <si>
    <t>Fruitland</t>
  </si>
  <si>
    <t>American Falls Joint</t>
  </si>
  <si>
    <t>Rockland</t>
  </si>
  <si>
    <t>Arbon Elementary</t>
  </si>
  <si>
    <t>Mullan</t>
  </si>
  <si>
    <t>Wallace</t>
  </si>
  <si>
    <t>Avery</t>
  </si>
  <si>
    <t>Teton County</t>
  </si>
  <si>
    <t>Twin Falls</t>
  </si>
  <si>
    <t>Buhl Joint</t>
  </si>
  <si>
    <t>Filer</t>
  </si>
  <si>
    <t>Kimberly</t>
  </si>
  <si>
    <t>Hansen</t>
  </si>
  <si>
    <t>Three Creek Joint Elementary</t>
  </si>
  <si>
    <t>Castleford Joint</t>
  </si>
  <si>
    <t>Murtaugh Joint</t>
  </si>
  <si>
    <t>McCall-Donnelly Joint</t>
  </si>
  <si>
    <t>Cascade</t>
  </si>
  <si>
    <t>Weiser</t>
  </si>
  <si>
    <t>Cambridge Joint</t>
  </si>
  <si>
    <t>Midvale</t>
  </si>
  <si>
    <t>TOTAL / STATEWIDE</t>
  </si>
  <si>
    <t>Budgetary Issues</t>
  </si>
  <si>
    <t>Gifted &amp; Talented**</t>
  </si>
  <si>
    <t>Funding Counts and Student Weights</t>
  </si>
  <si>
    <t>District &amp; School Adjustments</t>
  </si>
  <si>
    <t>Current Formula 2017-18</t>
  </si>
  <si>
    <t>New Formula With Estimated 2018-19 Funding</t>
  </si>
  <si>
    <t>District Number</t>
  </si>
  <si>
    <t>min</t>
  </si>
  <si>
    <t>max</t>
  </si>
  <si>
    <t>stdev</t>
  </si>
  <si>
    <t>Alternative Student Count</t>
  </si>
  <si>
    <t>Enrollment K-6</t>
  </si>
  <si>
    <t>Enrollment 7-12</t>
  </si>
  <si>
    <t>Economically Disadvantaged</t>
  </si>
  <si>
    <t>charter school apply</t>
  </si>
  <si>
    <t>front page</t>
  </si>
  <si>
    <t>+</t>
  </si>
  <si>
    <t>=1-AA10+(AA11-(E11*AB10))</t>
  </si>
  <si>
    <t>equal 1 mnus break point weight of .2625 +</t>
  </si>
  <si>
    <t>-</t>
  </si>
  <si>
    <t>if k-6 enrollment is between 166 and 330, then calculate 1.2625 plus the sum of .7875 minus k-6 enrollment times increment weight</t>
  </si>
  <si>
    <t>Adjustment 2 Additional FTE
J-CURVE</t>
  </si>
  <si>
    <t>Adjustment 1 Additional FTE
LINEAR</t>
  </si>
  <si>
    <t>Adjustment 1
LINEAR</t>
  </si>
  <si>
    <t>Adjustment 2
J-CURVE</t>
  </si>
  <si>
    <t>Selected Adjustment
Linear or J-Curve</t>
  </si>
  <si>
    <t>Based on Adj. On or Off
Remote School Apply or Not</t>
  </si>
  <si>
    <t>Mike in Model - column 3</t>
  </si>
  <si>
    <t>LSO Variation - fixed amount - column 4</t>
  </si>
  <si>
    <t>LSO - sum of enrollment in column e</t>
  </si>
  <si>
    <t>LSO - sum of Mike and Orig Enrollment</t>
  </si>
  <si>
    <t>average of mikes work</t>
  </si>
  <si>
    <t>=(H2*settings!$B$18)+settings!$B$19</t>
  </si>
  <si>
    <t>DIFFERENCE BETWEEN INDEX AND AVERAGE (OF 1); UNLESS INDEX IS HIGHER THAN AVERAGE (OF1)</t>
  </si>
  <si>
    <t>PERCENTAGE TO BE APPLIED AS A WEALTH WEIGHT</t>
  </si>
  <si>
    <t>WEIGHT = 1 + COLUMN J</t>
  </si>
  <si>
    <t>SCHOOL DISTRICT NUMBER</t>
  </si>
  <si>
    <t>SCHOOL DIST NAME</t>
  </si>
  <si>
    <t>FORMULA USED FOR CALCULATIONS WORKSHEET</t>
  </si>
  <si>
    <t>LSO VERSION - AS DESCRIBED BY PAUL (SEE DRAFT WRITE UP_</t>
  </si>
  <si>
    <t>LSO VERSION - AS DESCRIBED BY PAUL (SEE DRAFT WRITE UP)_COLUMN 2</t>
  </si>
  <si>
    <t xml:space="preserve">Calculations </t>
  </si>
  <si>
    <t>LSO - Increase of Mikes work</t>
  </si>
  <si>
    <t>IF INDEX IS LESS THAN 1, THEN TAKE 1 MINUS THE INDEX AND MULTIPLY IT BY .06667, AND THEN SUBTRACT .06667 TO ARRIVE AT THE WEALTH WEIGHT.  THIS WEIGHT IS THEN MULTIPLIED BY THE UNWEIGHTED STUDENT ENROLLMENT COUNT, PURSUANT TO __ id code…, AND THEN MULTIPLY THIS BY THE Computed Base Amount Per Student  TO CALCULATE THE ADDED $$$ FOR THE TOTAL</t>
  </si>
  <si>
    <t>District Wealth Adjustment</t>
  </si>
  <si>
    <t>Remote Building Adjustment</t>
  </si>
  <si>
    <t>Small District Weight</t>
  </si>
  <si>
    <t>Remote School Building Weight</t>
  </si>
  <si>
    <t>Large District Weight</t>
  </si>
  <si>
    <t>Cap for Elementary Enrollment</t>
  </si>
  <si>
    <t>Cap for Secondary Enrollment</t>
  </si>
  <si>
    <t>Large District Weight (Over 20,000 students)</t>
  </si>
  <si>
    <t>Economically Disadvantaged*</t>
  </si>
  <si>
    <t>Minimum Secondary Student Count for Non-Elementary Districts</t>
  </si>
  <si>
    <t>Funding Per Pupil</t>
  </si>
  <si>
    <t>Maximum Per Pupil Increase                              (Set on Front Page)</t>
  </si>
  <si>
    <t>Share of State K-12 Funding</t>
  </si>
  <si>
    <t>Total Funding Based on Per Pupil Cap</t>
  </si>
  <si>
    <t>Maximum Annual Per Pupil Funding Increase</t>
  </si>
  <si>
    <t>Funding With Minimum</t>
  </si>
  <si>
    <t>Cost to the State For a Minimum Increase</t>
  </si>
  <si>
    <t>Cost Without Cap</t>
  </si>
  <si>
    <t>Funding Best of Minimum or Orginal</t>
  </si>
  <si>
    <t>Funding Best of Minimum or Capped Orginal</t>
  </si>
  <si>
    <t>Funding Change With Minimum - Without Cap</t>
  </si>
  <si>
    <t>Gem Prep: Meridian</t>
  </si>
  <si>
    <t>Future Public School</t>
  </si>
  <si>
    <t>Peace Valley Charter School</t>
  </si>
  <si>
    <t>Project Impact STEM Acdmy</t>
  </si>
  <si>
    <t>ARTEC Industrial</t>
  </si>
  <si>
    <t>Total Funded Enrollment Count 2018-19</t>
  </si>
  <si>
    <t>Property Value Per Enrolled Student 2018-19</t>
  </si>
  <si>
    <r>
      <t xml:space="preserve">September </t>
    </r>
    <r>
      <rPr>
        <sz val="10"/>
        <color indexed="14"/>
        <rFont val="Arial"/>
        <family val="2"/>
      </rPr>
      <t>2018</t>
    </r>
    <r>
      <rPr>
        <sz val="10"/>
        <rFont val="Arial"/>
        <family val="2"/>
      </rPr>
      <t xml:space="preserve">
Market Value</t>
    </r>
  </si>
  <si>
    <t xml:space="preserve">*District highlighted in blue </t>
  </si>
  <si>
    <t>have figure based on the state average percentage</t>
  </si>
  <si>
    <t>F/R L Count from Database *</t>
  </si>
  <si>
    <t>GEM PREP: MERIDIAN, INC.</t>
  </si>
  <si>
    <t>FUTURE PUBLIC SCHOOL, INC.</t>
  </si>
  <si>
    <t>PEACE VALLEY CHARTER SCHOOL, INC.</t>
  </si>
  <si>
    <t>PROJECT IMPACT STEM ACADEMY, INC.</t>
  </si>
  <si>
    <t>Variance from Statewide Average</t>
  </si>
  <si>
    <t>#</t>
  </si>
  <si>
    <t>School District / Charter School</t>
  </si>
  <si>
    <t>Number of FTE Instructors</t>
  </si>
  <si>
    <t>Avg Salary Per Instructor</t>
  </si>
  <si>
    <t>Total Costs for Instructors</t>
  </si>
  <si>
    <t>Percentage</t>
  </si>
  <si>
    <t>Teacher Experience Adjustment**</t>
  </si>
  <si>
    <t>Teacher Experience Adjustment With Cap</t>
  </si>
  <si>
    <t>BOISE INDEPENDENT DISTRICT</t>
  </si>
  <si>
    <t>MERIDIAN JOINT DISTRICT</t>
  </si>
  <si>
    <t>KUNA JOINT DISTRICT</t>
  </si>
  <si>
    <t>MEADOWS VALLEY DISTRICT</t>
  </si>
  <si>
    <t>COUNCIL DISTRICT</t>
  </si>
  <si>
    <t>MARSH VALLEY JOINT DISTRICT</t>
  </si>
  <si>
    <t>POCATELLO DISTRICT</t>
  </si>
  <si>
    <t>BEAR LAKE COUNTY DISTRICT</t>
  </si>
  <si>
    <t>ST. MARIES JOINT DISTRICT</t>
  </si>
  <si>
    <t>PLUMMER / WORLEY JOINT DISTRICT</t>
  </si>
  <si>
    <t>SNAKE RIVER DISTRICT</t>
  </si>
  <si>
    <t>BLACKFOOT DISTRICT</t>
  </si>
  <si>
    <t>ABERDEEN DISTRICT</t>
  </si>
  <si>
    <t>FIRTH DISTRICT</t>
  </si>
  <si>
    <t>SHELLEY JOINT DISTRICT</t>
  </si>
  <si>
    <t>BLAINE COUNTY DISTRICT</t>
  </si>
  <si>
    <t>GARDEN VALLEY DISTRICT</t>
  </si>
  <si>
    <t>BASIN DISTRICT</t>
  </si>
  <si>
    <t>HORSESHOE BEND DISTRICT</t>
  </si>
  <si>
    <t>WEST BONNER COUNTY DISTRICT</t>
  </si>
  <si>
    <t>LAKE PEND OREILLE DISTRICT</t>
  </si>
  <si>
    <t>IDAHO FALLS DISTRICT</t>
  </si>
  <si>
    <t>SWAN VALLEY ELEMENTARY DISTRICT</t>
  </si>
  <si>
    <t>BONNEVILLE JOINT DISTRICT</t>
  </si>
  <si>
    <t>BOUNDARY COUNTY DISTRICT</t>
  </si>
  <si>
    <t>BUTTE COUNTY DISTRICT</t>
  </si>
  <si>
    <t>CAMAS COUNTY DISTRICT</t>
  </si>
  <si>
    <t>NAMPA DISTRICT</t>
  </si>
  <si>
    <t>CALDWELL DISTRICT</t>
  </si>
  <si>
    <t>WILDER DISTRICT</t>
  </si>
  <si>
    <t>MIDDLETON DISTRICT</t>
  </si>
  <si>
    <t>NOTUS DISTRICT</t>
  </si>
  <si>
    <t>MELBA JOINT DISTRICT</t>
  </si>
  <si>
    <t>PARMA DISTRICT</t>
  </si>
  <si>
    <t>VALLIVUE DISTRICT</t>
  </si>
  <si>
    <t>GRACE JOINT DISTRICT</t>
  </si>
  <si>
    <t>NORTH GEM DISTRICT</t>
  </si>
  <si>
    <t>SODA SPRINGS JOINT DISTRICT</t>
  </si>
  <si>
    <t>CASSIA COUNTY JOINT DISTRICT</t>
  </si>
  <si>
    <t>CLARK COUNTY JOINT DISTRICT</t>
  </si>
  <si>
    <t>OROFINO JOINT DISTRICT</t>
  </si>
  <si>
    <t>CHALLIS JOINT DISTRICT</t>
  </si>
  <si>
    <t>MACKAY JOINT DISTRICT</t>
  </si>
  <si>
    <t>PRAIRIE ELEMENTARY DISTRICT</t>
  </si>
  <si>
    <t>GLENNS FERRY JOINT DISTRICT</t>
  </si>
  <si>
    <t>MOUNTAIN HOME DISTRICT</t>
  </si>
  <si>
    <t>PRESTON JOINT DISTRICT</t>
  </si>
  <si>
    <t>WEST SIDE JOINT DISTRICT</t>
  </si>
  <si>
    <t>FREMONT COUNTY JOINT DISTRICT</t>
  </si>
  <si>
    <t>EMMETT INDEPENDENT DISTRICT</t>
  </si>
  <si>
    <t>GOODING JOINT DISTRICT</t>
  </si>
  <si>
    <t>WENDELL DISTRICT</t>
  </si>
  <si>
    <t>HAGERMAN JOINT DISTRICT</t>
  </si>
  <si>
    <t>BLISS JOINT DISTRICT</t>
  </si>
  <si>
    <t>COTTONWOOD JOINT DISTRICT</t>
  </si>
  <si>
    <t>SALMON RIVER JOINT DISTRICT</t>
  </si>
  <si>
    <t>MOUNTAIN VIEW DISTRICT</t>
  </si>
  <si>
    <t>JEFFERSON COUNTY JOINT DISTRICT</t>
  </si>
  <si>
    <t>RIRIE JOINT DISTRICT</t>
  </si>
  <si>
    <t>WEST JEFFERSON DISTRICT</t>
  </si>
  <si>
    <t>JEROME JOINT DISTRICT</t>
  </si>
  <si>
    <t>VALLEY DISTRICT</t>
  </si>
  <si>
    <t>COEUR D' ALENE DISTRICT</t>
  </si>
  <si>
    <t>LAKELAND DISTRICT</t>
  </si>
  <si>
    <t>POST FALLS DISTRICT</t>
  </si>
  <si>
    <t>KOOTENAI JOINT DISTRICT</t>
  </si>
  <si>
    <t>MOSCOW DISTRICT</t>
  </si>
  <si>
    <t>GENESEE JOINT DISTRICT</t>
  </si>
  <si>
    <t>KENDRICK JOINT DISTRICT</t>
  </si>
  <si>
    <t>POTLATCH DISTRICT</t>
  </si>
  <si>
    <t>TROY DISTRICT</t>
  </si>
  <si>
    <t>WHITEPINE JOINT DISTRICT</t>
  </si>
  <si>
    <t>SALMON DISTRICT</t>
  </si>
  <si>
    <t>SOUTH LEMHI DISTRICT</t>
  </si>
  <si>
    <t>NEZPERCE JOINT DISTRICT</t>
  </si>
  <si>
    <t>KAMIAH JOINT DISTRICT</t>
  </si>
  <si>
    <t>HIGHLAND JOINT DISTRICT</t>
  </si>
  <si>
    <t>SHOSHONE JOINT DISTRICT</t>
  </si>
  <si>
    <t>DIETRICH DISTRICT</t>
  </si>
  <si>
    <t>RICHFIELD DISTRICT</t>
  </si>
  <si>
    <t>MADISON DISTRICT</t>
  </si>
  <si>
    <t>SUGAR-SALEM JOINT DISTRICT</t>
  </si>
  <si>
    <t>MINIDOKA COUNTY JOINT DISTRICT</t>
  </si>
  <si>
    <t>LEWISTON INDEPENDENT DISTRICT</t>
  </si>
  <si>
    <t>LAPWAI DISTRICT</t>
  </si>
  <si>
    <t>CULDESAC JOINT DISTRICT</t>
  </si>
  <si>
    <t>ONEIDA COUNTY DISTRICT</t>
  </si>
  <si>
    <t>MARSING JOINT DISTRICT</t>
  </si>
  <si>
    <t>PLEASANT VALLEY ELEMENTARY DISTRICT</t>
  </si>
  <si>
    <t>BRUNEAU-GRAND VIEW JOINT DISTRICT</t>
  </si>
  <si>
    <t>HOMEDALE JOINT DISTRICT</t>
  </si>
  <si>
    <t>PAYETTE JOINT DISTRICT</t>
  </si>
  <si>
    <t>NEW PLYMOUTH DISTRICT</t>
  </si>
  <si>
    <t>FRUITLAND DISTRICT</t>
  </si>
  <si>
    <t>AMERICAN FALLS JOINT DISTRICT</t>
  </si>
  <si>
    <t>ROCKLAND DISTRICT</t>
  </si>
  <si>
    <t>ARBON ELEMENTARY DISTRICT</t>
  </si>
  <si>
    <t>KELLOGG JOINT DISTRICT</t>
  </si>
  <si>
    <t>MULLAN DISTRICT</t>
  </si>
  <si>
    <t>WALLACE DISTRICT</t>
  </si>
  <si>
    <t>AVERY DISTRICT</t>
  </si>
  <si>
    <t>TETON COUNTY DISTRICT</t>
  </si>
  <si>
    <t>TWIN FALLS DISTRICT</t>
  </si>
  <si>
    <t>BUHL JOINT DISTRICT</t>
  </si>
  <si>
    <t>FILER DISTRICT</t>
  </si>
  <si>
    <t>KIMBERLY DISTRICT</t>
  </si>
  <si>
    <t>HANSEN DISTRICT</t>
  </si>
  <si>
    <t>THREE CREEK JOINT ELEMENTARY DISTRICT</t>
  </si>
  <si>
    <t>CASTLEFORD JOINT DISTRICT</t>
  </si>
  <si>
    <t>MURTAUGH JOINT DISTRICT</t>
  </si>
  <si>
    <t>MCCALL-DONNELLY JOINT DISTRICT</t>
  </si>
  <si>
    <t>CASCADE DISTRICT</t>
  </si>
  <si>
    <t>WEISER DISTRICT</t>
  </si>
  <si>
    <t>CAMBRIDGE JOINT DISTRICT</t>
  </si>
  <si>
    <t>MIDVALE DISTRICT</t>
  </si>
  <si>
    <t>VICTORY CHARTER SCHOOL</t>
  </si>
  <si>
    <t>IDAHO VIRTUAL ACADEMY</t>
  </si>
  <si>
    <t>RICHARD MCKENNA CHARTER HIGH SCHOOL</t>
  </si>
  <si>
    <t>ROLLING HILLS CHARTER SCHOOL</t>
  </si>
  <si>
    <t>COMPASS PUBLIC CHARTER SCHOOL</t>
  </si>
  <si>
    <t>FALCON RIDGE PUBLIC CHARTER SCHOOL</t>
  </si>
  <si>
    <t>INSPIRE CONNECTIONS ACADEMY</t>
  </si>
  <si>
    <t>LIBERTY CHARTER SCHOOL</t>
  </si>
  <si>
    <t>ACADEMY AT ROOSEVELT CENTER</t>
  </si>
  <si>
    <t>TAYLOR'S CROSSING PUBLIC CHARTER SCHOOL</t>
  </si>
  <si>
    <t>XAVIER CHARTER SCHOOL</t>
  </si>
  <si>
    <t>VISION CHARTER SCHOOL</t>
  </si>
  <si>
    <t>WHITE PINE CHARTER SCHOOL</t>
  </si>
  <si>
    <t>NORTH VALLEY ACADEMY</t>
  </si>
  <si>
    <t>iSUCCEED VIRTUAL HIGH SCHOOL</t>
  </si>
  <si>
    <t>IDAHO SCIENCE &amp; TECHNOLOGY CHARTER SCHOOL</t>
  </si>
  <si>
    <t>IDAHO CONNECTS ONLINE SCHOOL</t>
  </si>
  <si>
    <t>KOOTENAI BRIDGE ACADEMY</t>
  </si>
  <si>
    <t>PALOUSE PRAIRIE SCHOOL</t>
  </si>
  <si>
    <t>THE VILLAGE CHARTER SCHOOL</t>
  </si>
  <si>
    <t>MONTICELLO MONTISORRI</t>
  </si>
  <si>
    <t>SAGE INTERNATIONAL SCHOOL OF BOISE</t>
  </si>
  <si>
    <t>ANOTHER CHOICE VIRTUAL CHARTER SCHOOL</t>
  </si>
  <si>
    <t>BLACKFOOT CHARTER COMMUNITY LEARNING CENTER</t>
  </si>
  <si>
    <t>LEGACY CHARTER SCHOOL</t>
  </si>
  <si>
    <t>HERITAGE ACADEMY</t>
  </si>
  <si>
    <t>NORTH IDAHO STEM CHARTER SCHOOL</t>
  </si>
  <si>
    <t>HERITAGE COMMUNITY CHARTER SCHOOL</t>
  </si>
  <si>
    <t>AMERICAN HERITAGE CHARTER SCHOOL</t>
  </si>
  <si>
    <t>CHIEF TAHGEE ELEMENTARY ACADEMY</t>
  </si>
  <si>
    <t>BINGHAM ACADEMY CHARTER</t>
  </si>
  <si>
    <t>UPPER CARMEN PUBLIC CHARTER SCHOOL</t>
  </si>
  <si>
    <t>FORREST M. BIRD CHARTER SCHOOL</t>
  </si>
  <si>
    <t>SYRINGA MOUNTAIN SCHOOL</t>
  </si>
  <si>
    <t>IDAHO COLLEGE &amp; CAREER READINESS</t>
  </si>
  <si>
    <t>IDAHO DISTANCE EDUCATION ACADEMY</t>
  </si>
  <si>
    <t>COEUR D' ALENE CHARTER ACADEMY</t>
  </si>
  <si>
    <t>ANSER CHARTER SCHOOL</t>
  </si>
  <si>
    <t>NORTH STAR CHARTER SCHOOL</t>
  </si>
  <si>
    <t>POCATELLO COMMUNITY CHARTER SCHOOL</t>
  </si>
  <si>
    <t>ALTURAS INTERNATIONAL ACADEMY</t>
  </si>
  <si>
    <t>GEM PREP: POCATELLO</t>
  </si>
  <si>
    <t>PATHWAYS IN EDUCATION - NAMPA</t>
  </si>
  <si>
    <t>Gem Prep: Meridian*</t>
  </si>
  <si>
    <t>Future Public School*</t>
  </si>
  <si>
    <t>Peace Valley Charter*</t>
  </si>
  <si>
    <t>Project Impact STEM*</t>
  </si>
  <si>
    <t>ARTE - Industrial*</t>
  </si>
  <si>
    <t>COSSA ACADEMY</t>
  </si>
  <si>
    <t>THOMAS JEFFERSON CHARTER SCHOOL</t>
  </si>
  <si>
    <t>SEI TEC</t>
  </si>
  <si>
    <t>MERIDIAN TECHNICAL CHARTER HIGH SCHOOL</t>
  </si>
  <si>
    <t>MERDIAN MEDICAL ARTS CHARTER HIGH SCHOOL</t>
  </si>
  <si>
    <t>ARTEC CHARTER SCHOOL</t>
  </si>
  <si>
    <t>PAYETTE RIVER TECHNICAL ACADEMY</t>
  </si>
  <si>
    <t>IDAHO ARTS CHARTER SCHOOL</t>
  </si>
  <si>
    <t>GEM PREP : NAMPA</t>
  </si>
  <si>
    <t>MOSCOW CHARTER SCHOOL</t>
  </si>
  <si>
    <t>Statewide Weighted Average</t>
  </si>
  <si>
    <t>Note:</t>
  </si>
  <si>
    <t>*There is no data for the five charter schools that opened in 2018 (Numbers: 498, 499, 511, 513, and 518).</t>
  </si>
  <si>
    <t xml:space="preserve">  Statewide averages were used for these five districts.</t>
  </si>
  <si>
    <t>**The experience adjusment is column "H" adjusted by 55.7% - which is Idaho's average expenditure on teacher salaries and benefits.</t>
  </si>
  <si>
    <t>Teacher Expriences Adjustment</t>
  </si>
  <si>
    <t>Weighted Prior To Teacher</t>
  </si>
  <si>
    <t>Include Experience Adjustment</t>
  </si>
  <si>
    <t>Maximum Experience Adjustment</t>
  </si>
  <si>
    <t>School Adjustment</t>
  </si>
  <si>
    <t>Front Page</t>
  </si>
  <si>
    <t>Teacher Experience</t>
  </si>
  <si>
    <t>18-19 Enrollment Count</t>
  </si>
  <si>
    <t>New Per Pupil</t>
  </si>
  <si>
    <t>Minimum Total Funding</t>
  </si>
  <si>
    <t>Maximum per Pupil</t>
  </si>
  <si>
    <t>Maximum Total Funding</t>
  </si>
  <si>
    <t>Hold Harmless Amount</t>
  </si>
  <si>
    <t>Maximum Cap Amount</t>
  </si>
  <si>
    <t>Hold Harmless without Minimum</t>
  </si>
  <si>
    <t>Minimum Increase Funding with Hold Harmless</t>
  </si>
  <si>
    <t>Total Special Ed.</t>
  </si>
  <si>
    <t>Spec. Ed. Base funding</t>
  </si>
  <si>
    <t>Cost of Hold Harm W/out Cap</t>
  </si>
  <si>
    <t>Advanced Opportunities</t>
  </si>
  <si>
    <t>Master Educator Premiums</t>
  </si>
  <si>
    <t>Educational Services for the Deaf/Blind</t>
  </si>
  <si>
    <t>Youth Challenge Academy</t>
  </si>
  <si>
    <t>Mastery-Based Education</t>
  </si>
  <si>
    <t>Economic Adjustment</t>
  </si>
  <si>
    <t>Min Count for Secondary Schools (Excluding Elementary Districts)</t>
  </si>
  <si>
    <t>Proposed Student-Centered Funding Formula for Idaho, Based on 2018-2019 School Year Enrollment</t>
  </si>
  <si>
    <t>Cost to the State of Holding Harmless from Loss</t>
  </si>
  <si>
    <t>Cost of Hold Harm W/Cap</t>
  </si>
  <si>
    <t>Cost With Cap</t>
  </si>
  <si>
    <t>Maximum Adjustment</t>
  </si>
  <si>
    <t>Include Economic Adjustment</t>
  </si>
  <si>
    <t>Idaho Digital Learning Academy</t>
  </si>
  <si>
    <t>Continuous Improvement Plans</t>
  </si>
  <si>
    <t>Teacher Experience Adjustment</t>
  </si>
  <si>
    <t>FY 2019</t>
  </si>
  <si>
    <t>FY 2020</t>
  </si>
  <si>
    <t>Total Appropriation</t>
  </si>
  <si>
    <t>Include Increase Cap</t>
  </si>
  <si>
    <t>"Hold Positive" / Minimum Total Funding Increase</t>
  </si>
  <si>
    <t>Exceptional Contracts/Tuition Equivalents</t>
  </si>
  <si>
    <t>Public Schools Division of Central Services</t>
  </si>
  <si>
    <t>% Change</t>
  </si>
  <si>
    <t>Additional FY 2020 Funding</t>
  </si>
  <si>
    <t>Online Class Portals</t>
  </si>
  <si>
    <t>Annual Change Without Per Pupil Cap</t>
  </si>
  <si>
    <r>
      <t xml:space="preserve">Total $ in Formula </t>
    </r>
    <r>
      <rPr>
        <i/>
        <sz val="16"/>
        <color theme="1"/>
        <rFont val="Calibri"/>
        <family val="2"/>
        <scheme val="minor"/>
      </rPr>
      <t>(FY 2019 Appropriation)</t>
    </r>
  </si>
  <si>
    <t>Property Value Per Pupil Index</t>
  </si>
  <si>
    <t>Idaho Bond Levy Calculations Index</t>
  </si>
  <si>
    <t>Lower of the Two Indexes</t>
  </si>
  <si>
    <t xml:space="preserve">Economically Disadvantaged </t>
  </si>
  <si>
    <r>
      <t xml:space="preserve">Annual Change </t>
    </r>
    <r>
      <rPr>
        <b/>
        <u/>
        <sz val="11"/>
        <color theme="1"/>
        <rFont val="Calibri (Body)_x0000_"/>
      </rPr>
      <t>With</t>
    </r>
    <r>
      <rPr>
        <sz val="11"/>
        <color theme="1"/>
        <rFont val="Calibri"/>
        <family val="2"/>
        <scheme val="minor"/>
      </rPr>
      <t xml:space="preserve"> Per Pupil Cap</t>
    </r>
  </si>
  <si>
    <t>Gem Prep: Meridian # 498</t>
  </si>
  <si>
    <t>Future Public School # 499</t>
  </si>
  <si>
    <t>Peace Valley Charter School #511</t>
  </si>
  <si>
    <t>Project Impact STEM Acdmy #513</t>
  </si>
  <si>
    <t>ARTEC Industrial # 518</t>
  </si>
  <si>
    <t>Minus Federal Funds</t>
  </si>
  <si>
    <t>State General and Dedicated Funding Available, After Subtracting the Federal Funds, for Special Programs Support (aka "Line Items"), Other Distributions, and A Base Amount Per Student</t>
  </si>
  <si>
    <t>Draft Bill Section 33-1002B (1) - (15)</t>
  </si>
  <si>
    <t>(1)</t>
  </si>
  <si>
    <t>(2)</t>
  </si>
  <si>
    <t>(3)</t>
  </si>
  <si>
    <t>(4)</t>
  </si>
  <si>
    <t>(5)</t>
  </si>
  <si>
    <t>(6)</t>
  </si>
  <si>
    <t>(7)</t>
  </si>
  <si>
    <t>(8)</t>
  </si>
  <si>
    <t>(9)</t>
  </si>
  <si>
    <t>(10)</t>
  </si>
  <si>
    <t>(11)</t>
  </si>
  <si>
    <t>(12)</t>
  </si>
  <si>
    <t>(13)</t>
  </si>
  <si>
    <t>(14)</t>
  </si>
  <si>
    <t>(15)</t>
  </si>
  <si>
    <t>SOPI Approp</t>
  </si>
  <si>
    <t>Distributions Currently Appropriated in the Public Schools Bills</t>
  </si>
  <si>
    <t>Sub-Total of All Special Program Support and Other Distributions</t>
  </si>
  <si>
    <t>Special Programs Support and Other Distributions</t>
  </si>
  <si>
    <t>School Building Maintenance (Lottery) and School Building Maintenance Match</t>
  </si>
  <si>
    <t>Classroom Technology</t>
  </si>
  <si>
    <t>Other Amounts: Feasibility Studies, Unemployment Insurance (paid to DOL), and Employee Severance</t>
  </si>
  <si>
    <t>$ Change</t>
  </si>
  <si>
    <t>ESTIMATED Balance Left for Computed Base Amount Per Student (for Front Page)</t>
  </si>
  <si>
    <t>Percentage Change / Hold Positive Amount for FY 2021</t>
  </si>
  <si>
    <t>Estimated Funding for FY 2021 (with the Hold Positive and Funding Cap)</t>
  </si>
  <si>
    <t>ESTIMATED Computed Base Amount Per Student</t>
  </si>
  <si>
    <t>less adjustment for growth</t>
  </si>
  <si>
    <t>Note:  Estimated FY 2020 funding without additional student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</si>
</sst>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 #,##0.000_);_(* \(#,##0.000\);_(* &quot;-&quot;??_);_(@_)"/>
    <numFmt numFmtId="167" formatCode="0.0%"/>
    <numFmt numFmtId="168" formatCode="_(&quot;$&quot;* #,##0_);_(&quot;$&quot;* \(#,##0\);_(&quot;$&quot;* &quot;-&quot;??_);_(@_)"/>
    <numFmt numFmtId="169" formatCode="0.000"/>
    <numFmt numFmtId="170" formatCode="_(* #,##0.0_);_(* \(#,##0.0\);_(* &quot;-&quot;??_);_(@_)"/>
    <numFmt numFmtId="171" formatCode="&quot;$&quot;#,##0.00"/>
    <numFmt numFmtId="172" formatCode="0.0000"/>
    <numFmt numFmtId="173" formatCode="000"/>
    <numFmt numFmtId="174" formatCode="0.00000"/>
    <numFmt numFmtId="175" formatCode="0.0"/>
    <numFmt numFmtId="176" formatCode="#,##0.0000"/>
    <numFmt numFmtId="177" formatCode="#,##0.0"/>
  </numFmts>
  <fonts count="2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sz val="14"/>
      <color theme="1"/>
      <name val="Calibri"/>
      <family val="2"/>
      <scheme val="minor"/>
    </font>
    <font>
      <sz val="10"/>
      <color indexed="14"/>
      <name val="Arial"/>
      <family val="2"/>
    </font>
    <font>
      <sz val="10"/>
      <color indexed="12"/>
      <name val="Arial"/>
      <family val="2"/>
    </font>
    <font>
      <sz val="10"/>
      <color rgb="FF0000FF"/>
      <name val="Arial"/>
      <family val="2"/>
    </font>
    <font>
      <b/>
      <sz val="10"/>
      <color indexed="12"/>
      <name val="Arial"/>
      <family val="2"/>
    </font>
    <font>
      <b/>
      <sz val="9"/>
      <color rgb="FF000000"/>
      <name val="Tahoma"/>
      <family val="2"/>
    </font>
    <font>
      <sz val="9"/>
      <color rgb="FF000000"/>
      <name val="Tahoma"/>
      <family val="2"/>
    </font>
    <font>
      <b/>
      <sz val="16"/>
      <color theme="1"/>
      <name val="Calibri"/>
      <family val="2"/>
      <scheme val="minor"/>
    </font>
    <font>
      <i/>
      <sz val="16"/>
      <color theme="1"/>
      <name val="Calibri"/>
      <family val="2"/>
      <scheme val="minor"/>
    </font>
    <font>
      <sz val="10"/>
      <color theme="1"/>
      <name val="Calibri"/>
      <family val="2"/>
      <scheme val="minor"/>
    </font>
    <font>
      <sz val="16"/>
      <color theme="1"/>
      <name val="Calibri"/>
      <family val="2"/>
      <scheme val="minor"/>
    </font>
    <font>
      <b/>
      <sz val="11"/>
      <name val="Arial"/>
      <family val="2"/>
    </font>
    <font>
      <b/>
      <sz val="13"/>
      <color theme="1"/>
      <name val="Calibri"/>
      <family val="2"/>
      <scheme val="minor"/>
    </font>
    <font>
      <b/>
      <sz val="20"/>
      <color theme="1"/>
      <name val="Calibri"/>
      <family val="2"/>
      <scheme val="minor"/>
    </font>
    <font>
      <sz val="11"/>
      <color rgb="FF212121"/>
      <name val="Calibri"/>
      <family val="2"/>
      <scheme val="minor"/>
    </font>
    <font>
      <b/>
      <u/>
      <sz val="11"/>
      <color theme="1"/>
      <name val="Calibri (Body)_x0000_"/>
    </font>
    <font>
      <sz val="13"/>
      <color theme="1"/>
      <name val="Calibri"/>
      <family val="2"/>
      <scheme val="minor"/>
    </font>
    <font>
      <sz val="13"/>
      <name val="Calibri"/>
      <family val="2"/>
      <scheme val="minor"/>
    </font>
    <font>
      <b/>
      <sz val="19"/>
      <color theme="1"/>
      <name val="Calibri"/>
      <family val="2"/>
      <scheme val="minor"/>
    </font>
  </fonts>
  <fills count="25">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bgColor indexed="64"/>
      </patternFill>
    </fill>
    <fill>
      <patternFill patternType="solid">
        <fgColor rgb="FFFFC000"/>
        <bgColor indexed="64"/>
      </patternFill>
    </fill>
    <fill>
      <patternFill patternType="solid">
        <fgColor theme="2" tint="0.7999816888943144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CC99"/>
        <bgColor indexed="64"/>
      </patternFill>
    </fill>
    <fill>
      <patternFill patternType="solid">
        <fgColor theme="2"/>
        <bgColor indexed="64"/>
      </patternFill>
    </fill>
    <fill>
      <patternFill patternType="solid">
        <fgColor theme="2" tint="0.39997558519241921"/>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xf numFmtId="44" fontId="1" fillId="0" borderId="0" applyFont="0" applyFill="0" applyBorder="0" applyAlignment="0" applyProtection="0"/>
  </cellStyleXfs>
  <cellXfs count="377">
    <xf numFmtId="0" fontId="0" fillId="0" borderId="0" xfId="0"/>
    <xf numFmtId="0" fontId="0" fillId="0" borderId="0" xfId="0" applyAlignment="1">
      <alignment horizontal="center"/>
    </xf>
    <xf numFmtId="0" fontId="2" fillId="2" borderId="0" xfId="0" applyFont="1" applyFill="1"/>
    <xf numFmtId="0" fontId="0" fillId="0" borderId="0" xfId="0" applyAlignment="1">
      <alignment horizontal="center" wrapText="1"/>
    </xf>
    <xf numFmtId="16" fontId="0" fillId="0" borderId="0" xfId="0" quotePrefix="1" applyNumberFormat="1" applyAlignment="1">
      <alignment horizontal="center"/>
    </xf>
    <xf numFmtId="6" fontId="0" fillId="0" borderId="0" xfId="0" applyNumberFormat="1"/>
    <xf numFmtId="8" fontId="0" fillId="0" borderId="0" xfId="0" applyNumberFormat="1"/>
    <xf numFmtId="164" fontId="0" fillId="0" borderId="0" xfId="0" applyNumberFormat="1"/>
    <xf numFmtId="0" fontId="0" fillId="0" borderId="0" xfId="0" applyAlignment="1">
      <alignment horizontal="center"/>
    </xf>
    <xf numFmtId="0" fontId="0" fillId="0" borderId="0" xfId="0" applyFill="1" applyBorder="1"/>
    <xf numFmtId="0" fontId="2" fillId="0" borderId="0" xfId="0" applyFont="1" applyFill="1" applyBorder="1"/>
    <xf numFmtId="0" fontId="0" fillId="0" borderId="0" xfId="0" applyNumberFormat="1" applyFill="1" applyBorder="1"/>
    <xf numFmtId="0" fontId="0" fillId="0" borderId="0" xfId="0" applyFill="1" applyBorder="1" applyAlignment="1"/>
    <xf numFmtId="0" fontId="2" fillId="0" borderId="0" xfId="0" applyFont="1" applyFill="1" applyBorder="1" applyAlignment="1"/>
    <xf numFmtId="0" fontId="4" fillId="0" borderId="0" xfId="2" applyFont="1" applyAlignment="1">
      <alignment horizontal="center" wrapText="1"/>
    </xf>
    <xf numFmtId="0" fontId="4" fillId="0" borderId="0" xfId="2" applyFont="1" applyFill="1" applyAlignment="1">
      <alignment horizontal="center" wrapText="1"/>
    </xf>
    <xf numFmtId="0" fontId="2" fillId="0" borderId="0" xfId="0" applyFont="1" applyFill="1" applyBorder="1" applyAlignment="1">
      <alignment horizontal="center" wrapText="1"/>
    </xf>
    <xf numFmtId="0" fontId="0" fillId="4" borderId="0" xfId="0" applyFill="1" applyBorder="1" applyAlignment="1"/>
    <xf numFmtId="0" fontId="0" fillId="4" borderId="0" xfId="0" applyFill="1" applyBorder="1"/>
    <xf numFmtId="1" fontId="0" fillId="4" borderId="0" xfId="0" applyNumberFormat="1" applyFill="1" applyBorder="1"/>
    <xf numFmtId="0" fontId="0" fillId="3" borderId="0" xfId="0" applyFill="1" applyBorder="1"/>
    <xf numFmtId="0" fontId="0" fillId="5" borderId="0" xfId="0" applyFill="1" applyBorder="1"/>
    <xf numFmtId="165" fontId="2" fillId="0" borderId="0" xfId="1" applyNumberFormat="1" applyFont="1" applyFill="1" applyBorder="1" applyAlignment="1">
      <alignment horizontal="center" wrapText="1"/>
    </xf>
    <xf numFmtId="1" fontId="0" fillId="0" borderId="0" xfId="0" applyNumberFormat="1"/>
    <xf numFmtId="165" fontId="0" fillId="0" borderId="0" xfId="1" applyNumberFormat="1" applyFont="1"/>
    <xf numFmtId="0" fontId="0" fillId="4" borderId="0" xfId="0" applyFill="1"/>
    <xf numFmtId="0" fontId="0" fillId="4" borderId="0" xfId="0" applyFill="1" applyAlignment="1">
      <alignment wrapText="1"/>
    </xf>
    <xf numFmtId="0" fontId="0" fillId="0" borderId="0" xfId="0" applyFill="1"/>
    <xf numFmtId="1" fontId="0" fillId="0" borderId="0" xfId="0" applyNumberFormat="1" applyFill="1"/>
    <xf numFmtId="0" fontId="2" fillId="4" borderId="0" xfId="0" applyFont="1" applyFill="1" applyAlignment="1">
      <alignment horizontal="center"/>
    </xf>
    <xf numFmtId="0" fontId="0" fillId="0" borderId="0" xfId="0" applyFill="1" applyAlignment="1">
      <alignment horizontal="center" wrapText="1"/>
    </xf>
    <xf numFmtId="0" fontId="0" fillId="0" borderId="0" xfId="0" quotePrefix="1" applyFill="1" applyAlignment="1">
      <alignment horizontal="center" wrapText="1"/>
    </xf>
    <xf numFmtId="0" fontId="2" fillId="0" borderId="0" xfId="0" applyFont="1" applyAlignment="1">
      <alignment horizontal="center" wrapText="1"/>
    </xf>
    <xf numFmtId="10" fontId="0" fillId="0" borderId="0" xfId="3" applyNumberFormat="1" applyFont="1"/>
    <xf numFmtId="43" fontId="0" fillId="0" borderId="0" xfId="1" applyFont="1"/>
    <xf numFmtId="0" fontId="0" fillId="3" borderId="0" xfId="0" applyFill="1"/>
    <xf numFmtId="166" fontId="0" fillId="0" borderId="0" xfId="1" applyNumberFormat="1" applyFont="1"/>
    <xf numFmtId="166" fontId="0" fillId="0" borderId="0" xfId="0" applyNumberFormat="1"/>
    <xf numFmtId="166" fontId="0" fillId="0" borderId="0" xfId="1" applyNumberFormat="1" applyFont="1" applyAlignment="1">
      <alignment wrapText="1"/>
    </xf>
    <xf numFmtId="43" fontId="0" fillId="0" borderId="0" xfId="0" applyNumberFormat="1"/>
    <xf numFmtId="0" fontId="2" fillId="0" borderId="0" xfId="0" applyFont="1" applyAlignment="1">
      <alignment horizontal="center"/>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0" fontId="0" fillId="9" borderId="0" xfId="0" applyFill="1"/>
    <xf numFmtId="0" fontId="2" fillId="9" borderId="0" xfId="0" applyFont="1" applyFill="1" applyAlignment="1"/>
    <xf numFmtId="0" fontId="9" fillId="7" borderId="9" xfId="0" applyFont="1" applyFill="1" applyBorder="1" applyAlignment="1">
      <alignment horizontal="center"/>
    </xf>
    <xf numFmtId="0" fontId="9" fillId="0" borderId="2" xfId="0" applyFont="1" applyFill="1" applyBorder="1" applyAlignment="1">
      <alignment horizontal="center"/>
    </xf>
    <xf numFmtId="0" fontId="9" fillId="7" borderId="10" xfId="0" applyFont="1" applyFill="1" applyBorder="1" applyAlignment="1">
      <alignment horizontal="center"/>
    </xf>
    <xf numFmtId="164" fontId="2" fillId="0" borderId="0" xfId="0" applyNumberFormat="1" applyFont="1" applyAlignment="1">
      <alignment horizontal="center"/>
    </xf>
    <xf numFmtId="167" fontId="7" fillId="0" borderId="0" xfId="0" applyNumberFormat="1" applyFont="1" applyAlignment="1">
      <alignment horizontal="center"/>
    </xf>
    <xf numFmtId="0" fontId="2" fillId="0" borderId="0" xfId="0" applyFont="1" applyAlignment="1">
      <alignment horizontal="center" wrapText="1"/>
    </xf>
    <xf numFmtId="10" fontId="0" fillId="0" borderId="0" xfId="0" applyNumberFormat="1" applyAlignment="1">
      <alignment horizontal="center"/>
    </xf>
    <xf numFmtId="167" fontId="0" fillId="0" borderId="0" xfId="0" applyNumberFormat="1" applyAlignment="1">
      <alignment horizontal="center"/>
    </xf>
    <xf numFmtId="6" fontId="0" fillId="0" borderId="0" xfId="0" applyNumberFormat="1" applyAlignment="1">
      <alignment horizontal="center"/>
    </xf>
    <xf numFmtId="164" fontId="0" fillId="0" borderId="0" xfId="0" applyNumberFormat="1" applyAlignment="1">
      <alignment horizontal="center"/>
    </xf>
    <xf numFmtId="0" fontId="9" fillId="0" borderId="17" xfId="0" applyFont="1" applyBorder="1" applyAlignment="1">
      <alignment horizontal="center"/>
    </xf>
    <xf numFmtId="0" fontId="4" fillId="11" borderId="0" xfId="2" applyFont="1" applyFill="1" applyAlignment="1">
      <alignment horizontal="center" wrapText="1"/>
    </xf>
    <xf numFmtId="0" fontId="0" fillId="0" borderId="0" xfId="0" applyAlignment="1">
      <alignment wrapText="1"/>
    </xf>
    <xf numFmtId="0" fontId="0" fillId="0" borderId="0" xfId="0" quotePrefix="1"/>
    <xf numFmtId="0" fontId="0" fillId="0" borderId="0" xfId="0" quotePrefix="1" applyNumberFormat="1"/>
    <xf numFmtId="0" fontId="2" fillId="0" borderId="0" xfId="0" applyFont="1" applyFill="1" applyAlignment="1">
      <alignment horizontal="center"/>
    </xf>
    <xf numFmtId="0" fontId="0" fillId="0" borderId="0" xfId="0" applyAlignment="1">
      <alignment horizontal="center" wrapText="1"/>
    </xf>
    <xf numFmtId="9" fontId="0" fillId="0" borderId="0" xfId="0" applyNumberFormat="1"/>
    <xf numFmtId="0" fontId="0" fillId="0" borderId="0" xfId="0" applyAlignment="1">
      <alignment horizontal="center" wrapText="1"/>
    </xf>
    <xf numFmtId="9" fontId="0" fillId="0" borderId="0" xfId="3" applyFont="1"/>
    <xf numFmtId="0" fontId="0" fillId="0" borderId="0" xfId="0" applyFont="1" applyFill="1"/>
    <xf numFmtId="0" fontId="9" fillId="0" borderId="1" xfId="0" applyFont="1" applyBorder="1" applyAlignment="1">
      <alignment horizontal="center" vertical="center"/>
    </xf>
    <xf numFmtId="0" fontId="9" fillId="7" borderId="9" xfId="0" applyFont="1" applyFill="1" applyBorder="1" applyAlignment="1">
      <alignment horizontal="center" vertical="center"/>
    </xf>
    <xf numFmtId="0" fontId="9" fillId="7" borderId="19" xfId="0" applyFont="1" applyFill="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8" fillId="8" borderId="16" xfId="0" applyFont="1" applyFill="1" applyBorder="1" applyAlignment="1">
      <alignment horizontal="left"/>
    </xf>
    <xf numFmtId="0" fontId="8" fillId="12" borderId="13" xfId="0" applyFont="1" applyFill="1" applyBorder="1" applyAlignment="1">
      <alignment horizontal="left"/>
    </xf>
    <xf numFmtId="0" fontId="8" fillId="12" borderId="14" xfId="0" applyFont="1" applyFill="1" applyBorder="1" applyAlignment="1">
      <alignment horizontal="left"/>
    </xf>
    <xf numFmtId="0" fontId="8" fillId="8" borderId="16" xfId="0" applyFont="1" applyFill="1" applyBorder="1" applyAlignment="1">
      <alignment horizontal="left" vertical="center"/>
    </xf>
    <xf numFmtId="0" fontId="8" fillId="12" borderId="9" xfId="0" applyFont="1" applyFill="1" applyBorder="1" applyAlignment="1">
      <alignment horizontal="left"/>
    </xf>
    <xf numFmtId="0" fontId="8" fillId="12" borderId="10" xfId="0" applyFont="1" applyFill="1" applyBorder="1" applyAlignment="1">
      <alignment horizontal="left"/>
    </xf>
    <xf numFmtId="170" fontId="0" fillId="0" borderId="0" xfId="1" applyNumberFormat="1" applyFont="1" applyFill="1"/>
    <xf numFmtId="171" fontId="0" fillId="0" borderId="0" xfId="0" applyNumberFormat="1"/>
    <xf numFmtId="173" fontId="11" fillId="0" borderId="0" xfId="0" applyNumberFormat="1" applyFont="1" applyAlignment="1">
      <alignment horizontal="center"/>
    </xf>
    <xf numFmtId="173" fontId="11" fillId="0" borderId="0" xfId="0" quotePrefix="1" applyNumberFormat="1" applyFont="1" applyAlignment="1">
      <alignment horizontal="left"/>
    </xf>
    <xf numFmtId="164" fontId="12" fillId="0" borderId="0" xfId="0" applyNumberFormat="1" applyFont="1"/>
    <xf numFmtId="3" fontId="0" fillId="0" borderId="0" xfId="0" applyNumberFormat="1"/>
    <xf numFmtId="173" fontId="11" fillId="0" borderId="0" xfId="0" applyNumberFormat="1" applyFont="1"/>
    <xf numFmtId="173" fontId="11" fillId="0" borderId="0" xfId="0" applyNumberFormat="1" applyFont="1" applyAlignment="1">
      <alignment horizontal="left"/>
    </xf>
    <xf numFmtId="173" fontId="13" fillId="0" borderId="0" xfId="0" applyNumberFormat="1" applyFont="1" applyAlignment="1">
      <alignment horizontal="center"/>
    </xf>
    <xf numFmtId="173" fontId="3" fillId="0" borderId="0" xfId="0" applyNumberFormat="1" applyFont="1" applyAlignment="1">
      <alignment horizontal="left"/>
    </xf>
    <xf numFmtId="173" fontId="3" fillId="0" borderId="0" xfId="0" applyNumberFormat="1" applyFont="1" applyAlignment="1"/>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167" fontId="9" fillId="7" borderId="20" xfId="0" applyNumberFormat="1" applyFont="1" applyFill="1" applyBorder="1" applyAlignment="1">
      <alignment horizontal="center"/>
    </xf>
    <xf numFmtId="0" fontId="9" fillId="0" borderId="15" xfId="0" applyFont="1" applyBorder="1" applyAlignment="1">
      <alignment horizontal="center"/>
    </xf>
    <xf numFmtId="0" fontId="9" fillId="0" borderId="18" xfId="0" applyFont="1" applyBorder="1" applyAlignment="1">
      <alignment horizontal="center" vertical="center"/>
    </xf>
    <xf numFmtId="164" fontId="9" fillId="10" borderId="15" xfId="0" applyNumberFormat="1" applyFont="1" applyFill="1" applyBorder="1" applyAlignment="1">
      <alignment horizontal="center" vertical="center"/>
    </xf>
    <xf numFmtId="0" fontId="0" fillId="0" borderId="0" xfId="0" applyAlignment="1">
      <alignment vertical="center"/>
    </xf>
    <xf numFmtId="0" fontId="0" fillId="13" borderId="0" xfId="0" applyFill="1"/>
    <xf numFmtId="0" fontId="9" fillId="13" borderId="0" xfId="0" applyFont="1" applyFill="1" applyAlignment="1">
      <alignment vertical="center"/>
    </xf>
    <xf numFmtId="6" fontId="9" fillId="13" borderId="0" xfId="0" applyNumberFormat="1" applyFont="1" applyFill="1" applyAlignment="1">
      <alignment vertical="center"/>
    </xf>
    <xf numFmtId="0" fontId="9" fillId="0" borderId="17" xfId="0" applyFont="1" applyFill="1" applyBorder="1" applyAlignment="1">
      <alignment horizontal="center" vertical="center"/>
    </xf>
    <xf numFmtId="164" fontId="9" fillId="0" borderId="16"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xf>
    <xf numFmtId="0" fontId="9" fillId="7" borderId="17" xfId="0" applyFont="1" applyFill="1" applyBorder="1" applyAlignment="1">
      <alignment horizontal="center"/>
    </xf>
    <xf numFmtId="167" fontId="9" fillId="7" borderId="15" xfId="0" applyNumberFormat="1" applyFont="1" applyFill="1" applyBorder="1" applyAlignment="1">
      <alignment horizontal="center"/>
    </xf>
    <xf numFmtId="0" fontId="9" fillId="7" borderId="17" xfId="0" applyFont="1" applyFill="1" applyBorder="1" applyAlignment="1">
      <alignment horizontal="center" vertical="center"/>
    </xf>
    <xf numFmtId="167" fontId="9" fillId="7" borderId="21" xfId="0" applyNumberFormat="1" applyFont="1" applyFill="1" applyBorder="1" applyAlignment="1">
      <alignment horizontal="center" vertical="center"/>
    </xf>
    <xf numFmtId="164" fontId="9" fillId="7" borderId="18" xfId="0" applyNumberFormat="1" applyFont="1" applyFill="1" applyBorder="1" applyAlignment="1">
      <alignment horizontal="center" vertical="center"/>
    </xf>
    <xf numFmtId="6" fontId="16" fillId="6" borderId="4" xfId="0" applyNumberFormat="1" applyFont="1" applyFill="1" applyBorder="1" applyAlignment="1">
      <alignment horizontal="center" vertical="center"/>
    </xf>
    <xf numFmtId="0" fontId="16" fillId="6" borderId="6" xfId="0" applyFont="1" applyFill="1" applyBorder="1" applyAlignment="1">
      <alignment vertical="center"/>
    </xf>
    <xf numFmtId="0" fontId="8" fillId="8" borderId="9" xfId="0" applyFont="1" applyFill="1" applyBorder="1" applyAlignment="1">
      <alignment horizontal="left"/>
    </xf>
    <xf numFmtId="0" fontId="8" fillId="8" borderId="10" xfId="0" applyFont="1" applyFill="1" applyBorder="1" applyAlignment="1">
      <alignment horizontal="left"/>
    </xf>
    <xf numFmtId="0" fontId="9"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172"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Alignment="1">
      <alignment horizontal="center"/>
    </xf>
    <xf numFmtId="2" fontId="11" fillId="0" borderId="0" xfId="0" applyNumberFormat="1" applyFont="1" applyAlignment="1">
      <alignment horizontal="center"/>
    </xf>
    <xf numFmtId="9" fontId="9" fillId="0" borderId="2"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xf>
    <xf numFmtId="9" fontId="9" fillId="0" borderId="12" xfId="1" applyNumberFormat="1" applyFont="1" applyFill="1" applyBorder="1" applyAlignment="1">
      <alignment horizontal="center" vertical="center"/>
    </xf>
    <xf numFmtId="9" fontId="9" fillId="7" borderId="10" xfId="0" applyNumberFormat="1" applyFont="1" applyFill="1" applyBorder="1" applyAlignment="1">
      <alignment horizontal="center" vertical="center"/>
    </xf>
    <xf numFmtId="0" fontId="0" fillId="11" borderId="0" xfId="0" applyFill="1" applyBorder="1"/>
    <xf numFmtId="0" fontId="4" fillId="3" borderId="0" xfId="2" applyFont="1" applyFill="1" applyAlignment="1">
      <alignment horizontal="center" wrapText="1"/>
    </xf>
    <xf numFmtId="164" fontId="0" fillId="3" borderId="0" xfId="0" applyNumberFormat="1" applyFill="1"/>
    <xf numFmtId="6" fontId="0" fillId="3" borderId="0" xfId="0" applyNumberFormat="1" applyFill="1"/>
    <xf numFmtId="8" fontId="0" fillId="3" borderId="0" xfId="0" applyNumberFormat="1" applyFill="1"/>
    <xf numFmtId="0" fontId="0" fillId="15" borderId="0" xfId="0" applyFill="1"/>
    <xf numFmtId="166" fontId="0" fillId="0" borderId="0" xfId="0" quotePrefix="1" applyNumberFormat="1"/>
    <xf numFmtId="174" fontId="0" fillId="0" borderId="0" xfId="0" applyNumberFormat="1"/>
    <xf numFmtId="43" fontId="0" fillId="0" borderId="0" xfId="1" applyFont="1" applyFill="1"/>
    <xf numFmtId="166" fontId="0" fillId="0" borderId="0" xfId="1" applyNumberFormat="1" applyFont="1" applyFill="1"/>
    <xf numFmtId="166" fontId="0" fillId="0" borderId="0" xfId="0" applyNumberFormat="1" applyFill="1"/>
    <xf numFmtId="174" fontId="0" fillId="0" borderId="0" xfId="0" applyNumberFormat="1" applyFill="1"/>
    <xf numFmtId="0" fontId="0" fillId="16" borderId="0" xfId="0" applyFill="1"/>
    <xf numFmtId="166" fontId="0" fillId="16" borderId="0" xfId="1" applyNumberFormat="1" applyFont="1" applyFill="1"/>
    <xf numFmtId="0" fontId="0" fillId="16" borderId="0" xfId="0" applyFill="1" applyAlignment="1">
      <alignment wrapText="1"/>
    </xf>
    <xf numFmtId="0" fontId="0" fillId="16" borderId="0" xfId="0" applyFill="1" applyAlignment="1">
      <alignment horizontal="center" wrapText="1"/>
    </xf>
    <xf numFmtId="43" fontId="0" fillId="16" borderId="0" xfId="0" applyNumberFormat="1" applyFill="1"/>
    <xf numFmtId="0" fontId="0" fillId="15" borderId="0" xfId="0" applyFill="1" applyAlignment="1">
      <alignment wrapText="1"/>
    </xf>
    <xf numFmtId="169" fontId="0" fillId="15" borderId="0" xfId="0" applyNumberFormat="1" applyFill="1"/>
    <xf numFmtId="0" fontId="0" fillId="15" borderId="0" xfId="0" applyFill="1" applyAlignment="1">
      <alignment horizontal="center" wrapText="1"/>
    </xf>
    <xf numFmtId="43" fontId="0" fillId="15" borderId="0" xfId="0" applyNumberFormat="1" applyFill="1"/>
    <xf numFmtId="0" fontId="0" fillId="18" borderId="0" xfId="0" quotePrefix="1" applyNumberFormat="1" applyFill="1"/>
    <xf numFmtId="0" fontId="0" fillId="18" borderId="0" xfId="0" applyFill="1"/>
    <xf numFmtId="1" fontId="0" fillId="18" borderId="0" xfId="0" applyNumberFormat="1" applyFill="1"/>
    <xf numFmtId="166" fontId="0" fillId="18" borderId="0" xfId="1" applyNumberFormat="1" applyFont="1" applyFill="1"/>
    <xf numFmtId="169" fontId="0" fillId="18" borderId="0" xfId="0" applyNumberFormat="1" applyFill="1"/>
    <xf numFmtId="43" fontId="0" fillId="18" borderId="0" xfId="0" applyNumberFormat="1" applyFill="1"/>
    <xf numFmtId="9" fontId="0" fillId="18" borderId="0" xfId="0" applyNumberFormat="1" applyFill="1"/>
    <xf numFmtId="175" fontId="0" fillId="0" borderId="0" xfId="0" applyNumberFormat="1" applyFill="1"/>
    <xf numFmtId="0" fontId="0" fillId="0" borderId="0" xfId="3" applyNumberFormat="1" applyFont="1"/>
    <xf numFmtId="1" fontId="0" fillId="0" borderId="0" xfId="3" applyNumberFormat="1" applyFont="1"/>
    <xf numFmtId="43" fontId="0" fillId="0" borderId="0" xfId="0" quotePrefix="1" applyNumberFormat="1"/>
    <xf numFmtId="172" fontId="0" fillId="0" borderId="0" xfId="0" applyNumberFormat="1"/>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0" fontId="0" fillId="0" borderId="15" xfId="0" applyBorder="1"/>
    <xf numFmtId="0" fontId="0" fillId="11" borderId="15" xfId="0" applyFill="1" applyBorder="1"/>
    <xf numFmtId="9" fontId="0" fillId="0" borderId="15" xfId="0" applyNumberFormat="1" applyBorder="1"/>
    <xf numFmtId="0" fontId="0" fillId="0" borderId="17" xfId="0" applyBorder="1"/>
    <xf numFmtId="0" fontId="0" fillId="11" borderId="17" xfId="0" applyFill="1" applyBorder="1"/>
    <xf numFmtId="0" fontId="0" fillId="0" borderId="22" xfId="0" applyBorder="1"/>
    <xf numFmtId="0" fontId="0" fillId="0" borderId="23" xfId="0" applyBorder="1"/>
    <xf numFmtId="0" fontId="0" fillId="11" borderId="22" xfId="0" applyFill="1" applyBorder="1"/>
    <xf numFmtId="0" fontId="0" fillId="0" borderId="25" xfId="0" applyBorder="1"/>
    <xf numFmtId="0" fontId="0" fillId="0" borderId="0" xfId="0" applyAlignment="1">
      <alignment horizontal="center" wrapText="1"/>
    </xf>
    <xf numFmtId="0" fontId="0" fillId="19" borderId="0" xfId="0" applyFill="1" applyBorder="1" applyAlignment="1">
      <alignment wrapText="1"/>
    </xf>
    <xf numFmtId="0" fontId="0" fillId="19" borderId="0" xfId="0" applyFill="1" applyBorder="1" applyAlignment="1">
      <alignment horizontal="center" vertical="center"/>
    </xf>
    <xf numFmtId="0" fontId="0" fillId="19" borderId="0" xfId="0" applyFill="1" applyBorder="1"/>
    <xf numFmtId="0" fontId="2" fillId="0" borderId="0" xfId="0" applyFont="1" applyAlignment="1"/>
    <xf numFmtId="3" fontId="2" fillId="0" borderId="0" xfId="0" applyNumberFormat="1" applyFont="1" applyAlignment="1"/>
    <xf numFmtId="3" fontId="0" fillId="0" borderId="0" xfId="0" applyNumberFormat="1" applyFill="1" applyBorder="1" applyAlignment="1">
      <alignment horizontal="center" wrapText="1"/>
    </xf>
    <xf numFmtId="164" fontId="0" fillId="0" borderId="0" xfId="3" applyNumberFormat="1" applyFont="1" applyAlignment="1">
      <alignment horizontal="center"/>
    </xf>
    <xf numFmtId="0" fontId="0" fillId="4" borderId="0" xfId="0" applyFill="1" applyAlignment="1">
      <alignment horizontal="center"/>
    </xf>
    <xf numFmtId="10" fontId="0" fillId="4" borderId="0" xfId="3" applyNumberFormat="1" applyFont="1" applyFill="1" applyAlignment="1">
      <alignment horizontal="center"/>
    </xf>
    <xf numFmtId="10" fontId="0" fillId="3" borderId="0" xfId="3" applyNumberFormat="1" applyFont="1" applyFill="1" applyAlignment="1">
      <alignment horizontal="center"/>
    </xf>
    <xf numFmtId="9" fontId="0" fillId="0" borderId="0" xfId="3" applyFont="1" applyAlignment="1">
      <alignment horizontal="center"/>
    </xf>
    <xf numFmtId="0" fontId="0" fillId="4" borderId="0" xfId="0" applyFill="1" applyAlignment="1">
      <alignment horizontal="center" wrapText="1"/>
    </xf>
    <xf numFmtId="0" fontId="2" fillId="4" borderId="0" xfId="0" applyFont="1" applyFill="1" applyAlignment="1">
      <alignment horizontal="center" wrapText="1"/>
    </xf>
    <xf numFmtId="164" fontId="0" fillId="4" borderId="0" xfId="3" applyNumberFormat="1" applyFont="1" applyFill="1" applyAlignment="1">
      <alignment horizontal="center"/>
    </xf>
    <xf numFmtId="9" fontId="0" fillId="4" borderId="0" xfId="3" applyFont="1" applyFill="1"/>
    <xf numFmtId="0" fontId="9" fillId="7" borderId="17" xfId="0" applyFont="1" applyFill="1" applyBorder="1" applyAlignment="1">
      <alignment horizontal="center" vertical="center" wrapText="1"/>
    </xf>
    <xf numFmtId="0" fontId="0" fillId="0" borderId="0" xfId="0" applyAlignment="1">
      <alignment horizontal="center" wrapText="1"/>
    </xf>
    <xf numFmtId="0" fontId="9" fillId="0" borderId="0" xfId="0" applyFont="1" applyAlignment="1">
      <alignment horizontal="center"/>
    </xf>
    <xf numFmtId="10" fontId="9" fillId="0" borderId="0" xfId="0" applyNumberFormat="1" applyFont="1" applyAlignment="1">
      <alignment horizontal="center"/>
    </xf>
    <xf numFmtId="0" fontId="0" fillId="0" borderId="0" xfId="0" applyFont="1" applyAlignment="1">
      <alignment horizontal="left" indent="1"/>
    </xf>
    <xf numFmtId="173" fontId="3" fillId="0" borderId="0" xfId="0" applyNumberFormat="1" applyFont="1" applyFill="1" applyAlignment="1">
      <alignment horizontal="left"/>
    </xf>
    <xf numFmtId="173" fontId="3" fillId="0" borderId="0" xfId="0" applyNumberFormat="1" applyFont="1" applyFill="1"/>
    <xf numFmtId="0" fontId="0" fillId="21" borderId="0" xfId="0" applyFill="1" applyBorder="1"/>
    <xf numFmtId="0" fontId="0" fillId="21" borderId="0" xfId="0" applyFill="1" applyBorder="1" applyAlignment="1">
      <alignment horizontal="center" wrapText="1"/>
    </xf>
    <xf numFmtId="0" fontId="0" fillId="11" borderId="0" xfId="0" applyFont="1" applyFill="1" applyBorder="1"/>
    <xf numFmtId="0" fontId="2" fillId="21" borderId="0" xfId="0" applyFont="1" applyFill="1" applyBorder="1" applyAlignment="1">
      <alignment horizontal="center" wrapText="1"/>
    </xf>
    <xf numFmtId="0" fontId="3" fillId="21" borderId="15" xfId="0" applyFont="1" applyFill="1" applyBorder="1" applyAlignment="1">
      <alignment horizontal="center" vertical="center" wrapText="1"/>
    </xf>
    <xf numFmtId="3" fontId="3" fillId="21" borderId="0" xfId="0" applyNumberFormat="1" applyFont="1" applyFill="1" applyBorder="1" applyAlignment="1">
      <alignment horizontal="center" vertical="center" wrapText="1"/>
    </xf>
    <xf numFmtId="0" fontId="2" fillId="3" borderId="0" xfId="0" applyFont="1" applyFill="1" applyAlignment="1"/>
    <xf numFmtId="3" fontId="2" fillId="3" borderId="0" xfId="0" applyNumberFormat="1" applyFont="1" applyFill="1" applyAlignment="1"/>
    <xf numFmtId="0" fontId="0" fillId="3" borderId="0" xfId="0" applyFill="1" applyAlignment="1">
      <alignment horizontal="center" wrapText="1"/>
    </xf>
    <xf numFmtId="3" fontId="0" fillId="3" borderId="0" xfId="0" applyNumberFormat="1" applyFill="1" applyBorder="1" applyAlignment="1">
      <alignment horizontal="center" wrapText="1"/>
    </xf>
    <xf numFmtId="3" fontId="0" fillId="3" borderId="0" xfId="0" applyNumberFormat="1" applyFill="1" applyBorder="1" applyAlignment="1">
      <alignment horizontal="center"/>
    </xf>
    <xf numFmtId="164" fontId="0" fillId="3" borderId="0" xfId="0" applyNumberFormat="1" applyFill="1" applyAlignment="1">
      <alignment horizontal="center"/>
    </xf>
    <xf numFmtId="3" fontId="0" fillId="3" borderId="0" xfId="0" applyNumberFormat="1" applyFill="1" applyAlignment="1">
      <alignment horizontal="center"/>
    </xf>
    <xf numFmtId="3" fontId="0" fillId="3" borderId="0" xfId="0" applyNumberFormat="1" applyFill="1"/>
    <xf numFmtId="0" fontId="0" fillId="0" borderId="0" xfId="0" applyAlignment="1">
      <alignment horizontal="center" wrapText="1"/>
    </xf>
    <xf numFmtId="0" fontId="2" fillId="0" borderId="0" xfId="0" applyFont="1" applyFill="1" applyAlignment="1">
      <alignment horizontal="center"/>
    </xf>
    <xf numFmtId="0" fontId="4" fillId="0" borderId="0" xfId="0" applyFont="1"/>
    <xf numFmtId="4" fontId="4" fillId="0" borderId="18"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0" xfId="0" applyFont="1" applyAlignment="1">
      <alignment horizontal="center"/>
    </xf>
    <xf numFmtId="0" fontId="4" fillId="5" borderId="0" xfId="0" applyFont="1" applyFill="1"/>
    <xf numFmtId="0" fontId="4" fillId="5" borderId="18" xfId="0" applyFont="1" applyFill="1" applyBorder="1" applyAlignment="1">
      <alignment horizontal="center" vertical="center"/>
    </xf>
    <xf numFmtId="10" fontId="4" fillId="0" borderId="18" xfId="0" applyNumberFormat="1" applyFont="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173" fontId="4" fillId="0" borderId="0" xfId="0" applyNumberFormat="1" applyFont="1" applyFill="1" applyAlignment="1">
      <alignment horizontal="center"/>
    </xf>
    <xf numFmtId="0" fontId="4" fillId="0" borderId="0" xfId="0" applyFont="1" applyFill="1"/>
    <xf numFmtId="176" fontId="4" fillId="0" borderId="0" xfId="0" applyNumberFormat="1" applyFont="1" applyAlignment="1">
      <alignment horizontal="center"/>
    </xf>
    <xf numFmtId="171" fontId="4" fillId="0" borderId="0" xfId="0" applyNumberFormat="1" applyFont="1" applyAlignment="1">
      <alignment horizontal="center"/>
    </xf>
    <xf numFmtId="4" fontId="4" fillId="0" borderId="0" xfId="0" applyNumberFormat="1" applyFont="1" applyAlignment="1">
      <alignment horizontal="center"/>
    </xf>
    <xf numFmtId="167" fontId="4" fillId="0" borderId="0" xfId="0" applyNumberFormat="1" applyFont="1" applyFill="1" applyAlignment="1">
      <alignment horizontal="center"/>
    </xf>
    <xf numFmtId="167" fontId="4" fillId="5" borderId="0" xfId="0" applyNumberFormat="1" applyFont="1" applyFill="1" applyAlignment="1">
      <alignment horizontal="center"/>
    </xf>
    <xf numFmtId="10" fontId="4" fillId="0" borderId="0" xfId="0" applyNumberFormat="1" applyFont="1" applyFill="1" applyAlignment="1">
      <alignment horizontal="center"/>
    </xf>
    <xf numFmtId="173" fontId="4" fillId="0" borderId="0" xfId="0" quotePrefix="1" applyNumberFormat="1" applyFont="1" applyFill="1" applyAlignment="1">
      <alignment horizontal="left"/>
    </xf>
    <xf numFmtId="173" fontId="4" fillId="0" borderId="0" xfId="0" applyNumberFormat="1" applyFont="1" applyFill="1"/>
    <xf numFmtId="176" fontId="4" fillId="0" borderId="0" xfId="0" applyNumberFormat="1" applyFont="1" applyFill="1" applyAlignment="1">
      <alignment horizontal="center"/>
    </xf>
    <xf numFmtId="173" fontId="4" fillId="0" borderId="0" xfId="0" applyNumberFormat="1" applyFont="1" applyFill="1" applyAlignment="1">
      <alignment horizontal="left"/>
    </xf>
    <xf numFmtId="171" fontId="4" fillId="0" borderId="0" xfId="0" applyNumberFormat="1" applyFont="1" applyFill="1" applyAlignment="1">
      <alignment horizontal="center"/>
    </xf>
    <xf numFmtId="1" fontId="4" fillId="0" borderId="0" xfId="0" applyNumberFormat="1" applyFont="1" applyFill="1" applyAlignment="1">
      <alignment horizontal="center"/>
    </xf>
    <xf numFmtId="0" fontId="4" fillId="0" borderId="0" xfId="0" applyFont="1" applyFill="1" applyAlignment="1">
      <alignment horizontal="center"/>
    </xf>
    <xf numFmtId="0" fontId="4" fillId="5" borderId="0" xfId="0" applyFont="1" applyFill="1" applyAlignment="1">
      <alignment horizontal="center"/>
    </xf>
    <xf numFmtId="0" fontId="20" fillId="0" borderId="0" xfId="0" applyFont="1" applyFill="1"/>
    <xf numFmtId="4" fontId="20" fillId="0" borderId="0" xfId="0" applyNumberFormat="1" applyFont="1" applyFill="1" applyAlignment="1">
      <alignment horizontal="center"/>
    </xf>
    <xf numFmtId="171" fontId="20" fillId="0" borderId="0" xfId="0" applyNumberFormat="1" applyFont="1" applyFill="1" applyAlignment="1">
      <alignment horizontal="center"/>
    </xf>
    <xf numFmtId="0" fontId="20" fillId="0" borderId="0" xfId="0" applyFont="1" applyFill="1" applyAlignment="1">
      <alignment horizontal="center"/>
    </xf>
    <xf numFmtId="0" fontId="0" fillId="11" borderId="0" xfId="0" applyFill="1"/>
    <xf numFmtId="0" fontId="2" fillId="0" borderId="0" xfId="0" applyFont="1" applyAlignment="1">
      <alignment horizontal="center" wrapText="1"/>
    </xf>
    <xf numFmtId="0" fontId="2" fillId="0" borderId="0" xfId="0" applyFont="1" applyFill="1" applyBorder="1" applyAlignment="1">
      <alignment horizontal="center"/>
    </xf>
    <xf numFmtId="0" fontId="0" fillId="19" borderId="0" xfId="0" applyFill="1"/>
    <xf numFmtId="0" fontId="2" fillId="19" borderId="0" xfId="0" applyFont="1" applyFill="1" applyAlignment="1">
      <alignment horizontal="center" wrapText="1"/>
    </xf>
    <xf numFmtId="164" fontId="0" fillId="19" borderId="0" xfId="0" applyNumberFormat="1" applyFill="1"/>
    <xf numFmtId="0" fontId="2" fillId="15" borderId="0" xfId="0" applyFont="1" applyFill="1" applyAlignment="1">
      <alignment horizontal="center" wrapText="1"/>
    </xf>
    <xf numFmtId="164" fontId="0" fillId="15" borderId="0" xfId="0" applyNumberFormat="1" applyFill="1"/>
    <xf numFmtId="0" fontId="2" fillId="0" borderId="0" xfId="0" applyFont="1" applyFill="1" applyAlignment="1">
      <alignment horizontal="center" wrapText="1"/>
    </xf>
    <xf numFmtId="0" fontId="0" fillId="0" borderId="0" xfId="0" applyFill="1" applyBorder="1" applyAlignment="1">
      <alignment horizontal="center"/>
    </xf>
    <xf numFmtId="177" fontId="2" fillId="0" borderId="0" xfId="0" applyNumberFormat="1" applyFont="1" applyAlignment="1">
      <alignment horizontal="center"/>
    </xf>
    <xf numFmtId="0" fontId="0" fillId="5" borderId="0" xfId="0"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0" fillId="11" borderId="0" xfId="0" applyFill="1" applyBorder="1" applyAlignment="1">
      <alignment horizontal="center"/>
    </xf>
    <xf numFmtId="8" fontId="0" fillId="0" borderId="15" xfId="0" applyNumberFormat="1" applyBorder="1"/>
    <xf numFmtId="6" fontId="0" fillId="0" borderId="15" xfId="0" applyNumberFormat="1" applyBorder="1"/>
    <xf numFmtId="0" fontId="9" fillId="0" borderId="0" xfId="0" applyFont="1" applyAlignment="1">
      <alignment horizontal="center" vertical="center" wrapText="1"/>
    </xf>
    <xf numFmtId="0" fontId="9" fillId="0" borderId="0" xfId="0" applyFont="1" applyAlignment="1">
      <alignment horizontal="center" wrapText="1"/>
    </xf>
    <xf numFmtId="6" fontId="16" fillId="7" borderId="5" xfId="0" applyNumberFormat="1" applyFont="1" applyFill="1" applyBorder="1" applyAlignment="1">
      <alignment horizontal="center" vertical="center"/>
    </xf>
    <xf numFmtId="0" fontId="0" fillId="0" borderId="0" xfId="0" applyAlignment="1">
      <alignment horizontal="center" wrapText="1"/>
    </xf>
    <xf numFmtId="164" fontId="21" fillId="0" borderId="15" xfId="0" applyNumberFormat="1" applyFont="1" applyFill="1" applyBorder="1" applyAlignment="1">
      <alignment horizontal="center"/>
    </xf>
    <xf numFmtId="164" fontId="21" fillId="22" borderId="15" xfId="0" applyNumberFormat="1" applyFont="1" applyFill="1" applyBorder="1" applyAlignment="1">
      <alignment horizontal="center"/>
    </xf>
    <xf numFmtId="172" fontId="0" fillId="0" borderId="0" xfId="0" applyNumberFormat="1" applyAlignment="1">
      <alignment horizont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172" fontId="0" fillId="23" borderId="0" xfId="0" applyNumberFormat="1" applyFill="1"/>
    <xf numFmtId="2" fontId="0" fillId="0" borderId="0" xfId="0" applyNumberFormat="1" applyFill="1"/>
    <xf numFmtId="0" fontId="23" fillId="0" borderId="0" xfId="0" applyFont="1" applyAlignment="1">
      <alignment wrapText="1"/>
    </xf>
    <xf numFmtId="0" fontId="23" fillId="0" borderId="0" xfId="0" applyFont="1" applyAlignment="1">
      <alignment horizontal="center" wrapText="1"/>
    </xf>
    <xf numFmtId="0" fontId="25" fillId="13" borderId="0" xfId="0" applyFont="1" applyFill="1" applyAlignment="1">
      <alignment wrapText="1"/>
    </xf>
    <xf numFmtId="0" fontId="21" fillId="0" borderId="15" xfId="0" applyFont="1" applyBorder="1" applyAlignment="1">
      <alignment horizontal="center" vertical="center" wrapText="1"/>
    </xf>
    <xf numFmtId="49" fontId="25" fillId="0" borderId="15" xfId="0" applyNumberFormat="1" applyFont="1" applyBorder="1" applyAlignment="1">
      <alignment horizontal="center"/>
    </xf>
    <xf numFmtId="49" fontId="25" fillId="0" borderId="15" xfId="0" applyNumberFormat="1" applyFont="1" applyBorder="1" applyAlignment="1">
      <alignment horizontal="center" wrapText="1"/>
    </xf>
    <xf numFmtId="0" fontId="25" fillId="0" borderId="0" xfId="0" applyFont="1"/>
    <xf numFmtId="0" fontId="21" fillId="13" borderId="0" xfId="0" applyFont="1" applyFill="1" applyBorder="1" applyAlignment="1">
      <alignment wrapText="1"/>
    </xf>
    <xf numFmtId="0" fontId="25" fillId="0" borderId="15" xfId="0" applyFont="1" applyBorder="1"/>
    <xf numFmtId="0" fontId="25" fillId="0" borderId="15" xfId="0" applyFont="1" applyBorder="1" applyAlignment="1">
      <alignment wrapText="1"/>
    </xf>
    <xf numFmtId="0" fontId="26" fillId="0" borderId="15" xfId="0" applyFont="1" applyFill="1" applyBorder="1" applyAlignment="1">
      <alignment wrapText="1"/>
    </xf>
    <xf numFmtId="0" fontId="27" fillId="13" borderId="15" xfId="0" applyFont="1" applyFill="1" applyBorder="1" applyAlignment="1">
      <alignment horizontal="center" vertical="center"/>
    </xf>
    <xf numFmtId="168" fontId="21" fillId="0" borderId="15" xfId="4" applyNumberFormat="1" applyFont="1" applyFill="1" applyBorder="1" applyAlignment="1">
      <alignment horizontal="right"/>
    </xf>
    <xf numFmtId="164" fontId="21" fillId="0" borderId="15" xfId="4" applyNumberFormat="1" applyFont="1" applyFill="1" applyBorder="1" applyAlignment="1">
      <alignment horizontal="right"/>
    </xf>
    <xf numFmtId="164" fontId="21" fillId="22" borderId="15" xfId="4" applyNumberFormat="1" applyFont="1" applyFill="1" applyBorder="1" applyAlignment="1">
      <alignment horizontal="right"/>
    </xf>
    <xf numFmtId="164" fontId="25" fillId="0" borderId="15" xfId="4" applyNumberFormat="1" applyFont="1" applyBorder="1" applyAlignment="1"/>
    <xf numFmtId="164" fontId="25" fillId="0" borderId="15" xfId="0" applyNumberFormat="1" applyFont="1" applyBorder="1" applyAlignment="1"/>
    <xf numFmtId="164" fontId="25" fillId="0" borderId="15" xfId="0" applyNumberFormat="1" applyFont="1" applyFill="1" applyBorder="1" applyAlignment="1"/>
    <xf numFmtId="164" fontId="21" fillId="22" borderId="15" xfId="0" applyNumberFormat="1" applyFont="1" applyFill="1" applyBorder="1" applyAlignment="1"/>
    <xf numFmtId="5" fontId="25" fillId="0" borderId="15" xfId="0" applyNumberFormat="1" applyFont="1" applyBorder="1" applyAlignment="1"/>
    <xf numFmtId="168" fontId="27" fillId="13" borderId="15" xfId="4" applyNumberFormat="1" applyFont="1" applyFill="1" applyBorder="1" applyAlignment="1">
      <alignment horizontal="center" vertical="center"/>
    </xf>
    <xf numFmtId="167" fontId="21" fillId="0" borderId="15" xfId="0" applyNumberFormat="1" applyFont="1" applyFill="1" applyBorder="1" applyAlignment="1">
      <alignment horizontal="center"/>
    </xf>
    <xf numFmtId="167" fontId="21" fillId="22" borderId="15" xfId="0" applyNumberFormat="1" applyFont="1" applyFill="1" applyBorder="1" applyAlignment="1">
      <alignment horizontal="center"/>
    </xf>
    <xf numFmtId="0" fontId="21" fillId="13" borderId="0" xfId="0" applyFont="1" applyFill="1" applyBorder="1" applyAlignment="1">
      <alignment horizontal="center" wrapText="1"/>
    </xf>
    <xf numFmtId="167" fontId="25" fillId="0" borderId="15" xfId="0" applyNumberFormat="1" applyFont="1" applyBorder="1" applyAlignment="1">
      <alignment horizontal="center"/>
    </xf>
    <xf numFmtId="0" fontId="25" fillId="0" borderId="0" xfId="0" applyFont="1" applyAlignment="1">
      <alignment horizontal="center"/>
    </xf>
    <xf numFmtId="5" fontId="21" fillId="22" borderId="15" xfId="0" applyNumberFormat="1" applyFont="1" applyFill="1" applyBorder="1" applyAlignment="1">
      <alignment horizontal="right"/>
    </xf>
    <xf numFmtId="0" fontId="0" fillId="20" borderId="0" xfId="0" applyFill="1"/>
    <xf numFmtId="164" fontId="0" fillId="20" borderId="0" xfId="0" applyNumberFormat="1" applyFill="1"/>
    <xf numFmtId="3" fontId="0" fillId="20" borderId="0" xfId="0" applyNumberFormat="1" applyFill="1" applyBorder="1" applyAlignment="1">
      <alignment horizontal="center"/>
    </xf>
    <xf numFmtId="164" fontId="0" fillId="20" borderId="0" xfId="0" applyNumberFormat="1" applyFill="1" applyAlignment="1">
      <alignment horizontal="center"/>
    </xf>
    <xf numFmtId="10" fontId="0" fillId="20" borderId="0" xfId="3" applyNumberFormat="1" applyFont="1" applyFill="1" applyAlignment="1">
      <alignment horizontal="center"/>
    </xf>
    <xf numFmtId="6" fontId="0" fillId="20" borderId="0" xfId="0" applyNumberFormat="1" applyFill="1"/>
    <xf numFmtId="8" fontId="0" fillId="20" borderId="0" xfId="0" applyNumberFormat="1" applyFill="1"/>
    <xf numFmtId="164" fontId="0" fillId="0" borderId="0" xfId="0" applyNumberFormat="1" applyFill="1" applyAlignment="1">
      <alignment horizontal="center"/>
    </xf>
    <xf numFmtId="6" fontId="0" fillId="0" borderId="0" xfId="0" applyNumberFormat="1" applyFill="1"/>
    <xf numFmtId="10" fontId="0" fillId="0" borderId="0" xfId="3" applyNumberFormat="1" applyFont="1" applyFill="1"/>
    <xf numFmtId="164" fontId="0" fillId="0" borderId="0" xfId="3" applyNumberFormat="1" applyFont="1" applyFill="1" applyAlignment="1">
      <alignment horizontal="center"/>
    </xf>
    <xf numFmtId="10" fontId="0" fillId="0" borderId="0" xfId="0" applyNumberFormat="1" applyFill="1" applyAlignment="1">
      <alignment horizontal="center"/>
    </xf>
    <xf numFmtId="8" fontId="0" fillId="0" borderId="0" xfId="0" applyNumberFormat="1" applyFill="1"/>
    <xf numFmtId="6" fontId="0" fillId="0" borderId="0" xfId="0" applyNumberFormat="1" applyFill="1" applyAlignment="1">
      <alignment horizontal="center"/>
    </xf>
    <xf numFmtId="167" fontId="0" fillId="0" borderId="0" xfId="0" applyNumberFormat="1" applyFill="1" applyAlignment="1">
      <alignment horizontal="center"/>
    </xf>
    <xf numFmtId="164" fontId="0" fillId="24" borderId="0" xfId="0" applyNumberFormat="1" applyFill="1" applyAlignment="1">
      <alignment horizontal="center"/>
    </xf>
    <xf numFmtId="0" fontId="2" fillId="20" borderId="0" xfId="0" applyFont="1" applyFill="1" applyAlignment="1"/>
    <xf numFmtId="3" fontId="2" fillId="20" borderId="0" xfId="0" applyNumberFormat="1" applyFont="1" applyFill="1" applyAlignment="1"/>
    <xf numFmtId="0" fontId="0" fillId="20" borderId="0" xfId="0" applyFill="1" applyAlignment="1">
      <alignment horizontal="center"/>
    </xf>
    <xf numFmtId="0" fontId="0" fillId="20" borderId="0" xfId="0" applyFill="1" applyAlignment="1">
      <alignment horizontal="center" wrapText="1"/>
    </xf>
    <xf numFmtId="3" fontId="0" fillId="20" borderId="0" xfId="0" applyNumberFormat="1" applyFill="1" applyBorder="1" applyAlignment="1">
      <alignment horizontal="center" wrapText="1"/>
    </xf>
    <xf numFmtId="0" fontId="2" fillId="20" borderId="0" xfId="0" applyFont="1" applyFill="1" applyAlignment="1">
      <alignment horizontal="center" wrapText="1"/>
    </xf>
    <xf numFmtId="3" fontId="0" fillId="20" borderId="0" xfId="0" applyNumberFormat="1" applyFill="1" applyAlignment="1">
      <alignment horizontal="center"/>
    </xf>
    <xf numFmtId="9" fontId="0" fillId="20" borderId="0" xfId="3" applyFont="1" applyFill="1" applyAlignment="1">
      <alignment horizontal="center"/>
    </xf>
    <xf numFmtId="3" fontId="0" fillId="20" borderId="0" xfId="0" applyNumberFormat="1" applyFill="1"/>
    <xf numFmtId="0" fontId="2" fillId="24" borderId="0" xfId="0" applyFont="1" applyFill="1" applyAlignment="1">
      <alignment horizontal="center" wrapText="1"/>
    </xf>
    <xf numFmtId="0" fontId="16" fillId="7" borderId="3" xfId="0" applyFont="1" applyFill="1" applyBorder="1" applyAlignment="1">
      <alignment horizontal="center" vertical="center" wrapText="1"/>
    </xf>
    <xf numFmtId="0" fontId="9" fillId="10" borderId="15" xfId="0" applyFont="1" applyFill="1" applyBorder="1" applyAlignment="1">
      <alignment horizontal="left" vertical="center"/>
    </xf>
    <xf numFmtId="0" fontId="22" fillId="0" borderId="0" xfId="0" applyFont="1" applyAlignment="1">
      <alignment horizontal="center" vertical="center"/>
    </xf>
    <xf numFmtId="0" fontId="8" fillId="14" borderId="13"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0" borderId="18" xfId="0" applyFont="1" applyFill="1" applyBorder="1" applyAlignment="1">
      <alignment horizontal="left" vertical="center" wrapText="1"/>
    </xf>
    <xf numFmtId="0" fontId="8" fillId="10" borderId="10" xfId="0" applyFont="1" applyFill="1" applyBorder="1" applyAlignment="1">
      <alignment horizontal="left" vertical="center" wrapText="1"/>
    </xf>
    <xf numFmtId="0" fontId="8" fillId="14" borderId="9" xfId="0" applyFont="1" applyFill="1" applyBorder="1" applyAlignment="1">
      <alignment horizontal="center" vertical="center"/>
    </xf>
    <xf numFmtId="0" fontId="8" fillId="14" borderId="10" xfId="0" applyFont="1" applyFill="1" applyBorder="1" applyAlignment="1">
      <alignment horizontal="center" vertical="center"/>
    </xf>
    <xf numFmtId="0" fontId="8" fillId="17" borderId="17" xfId="0" applyFont="1" applyFill="1" applyBorder="1" applyAlignment="1">
      <alignment horizontal="center" vertical="center"/>
    </xf>
    <xf numFmtId="0" fontId="8" fillId="17" borderId="18"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0" fillId="20" borderId="18" xfId="0" applyFill="1" applyBorder="1" applyAlignment="1">
      <alignment horizontal="center"/>
    </xf>
    <xf numFmtId="0" fontId="8" fillId="12" borderId="21" xfId="0" applyFont="1" applyFill="1" applyBorder="1" applyAlignment="1">
      <alignment horizontal="center"/>
    </xf>
    <xf numFmtId="0" fontId="8" fillId="8" borderId="13" xfId="0" applyFont="1" applyFill="1" applyBorder="1" applyAlignment="1">
      <alignment horizontal="left" vertical="center"/>
    </xf>
    <xf numFmtId="0" fontId="8" fillId="8" borderId="14" xfId="0" applyFont="1" applyFill="1" applyBorder="1" applyAlignment="1">
      <alignment horizontal="left" vertical="center"/>
    </xf>
    <xf numFmtId="0" fontId="8" fillId="8" borderId="9" xfId="0" applyFont="1" applyFill="1" applyBorder="1" applyAlignment="1">
      <alignment horizontal="left" vertical="center"/>
    </xf>
    <xf numFmtId="0" fontId="8" fillId="8" borderId="10" xfId="0" applyFont="1" applyFill="1" applyBorder="1" applyAlignment="1">
      <alignment horizontal="left" vertical="center"/>
    </xf>
    <xf numFmtId="0" fontId="8" fillId="8" borderId="7" xfId="0" applyFont="1" applyFill="1" applyBorder="1" applyAlignment="1">
      <alignment vertical="center"/>
    </xf>
    <xf numFmtId="0" fontId="8" fillId="8" borderId="8" xfId="0" applyFont="1" applyFill="1" applyBorder="1" applyAlignment="1">
      <alignment vertical="center"/>
    </xf>
    <xf numFmtId="0" fontId="8" fillId="14" borderId="13" xfId="0" applyFont="1" applyFill="1" applyBorder="1" applyAlignment="1">
      <alignment horizontal="center" vertical="center"/>
    </xf>
    <xf numFmtId="0" fontId="8" fillId="14" borderId="14" xfId="0" applyFont="1" applyFill="1" applyBorder="1" applyAlignment="1">
      <alignment horizontal="center" vertical="center"/>
    </xf>
    <xf numFmtId="0" fontId="8" fillId="8" borderId="9" xfId="0" applyFont="1" applyFill="1" applyBorder="1" applyAlignment="1">
      <alignment vertical="center"/>
    </xf>
    <xf numFmtId="0" fontId="8" fillId="8" borderId="10" xfId="0" applyFont="1" applyFill="1" applyBorder="1" applyAlignment="1">
      <alignment vertical="center"/>
    </xf>
    <xf numFmtId="0" fontId="8" fillId="12" borderId="21" xfId="0" applyFont="1" applyFill="1" applyBorder="1" applyAlignment="1">
      <alignment horizontal="left"/>
    </xf>
    <xf numFmtId="0" fontId="0" fillId="0" borderId="21" xfId="0" applyBorder="1" applyAlignment="1">
      <alignment horizontal="center"/>
    </xf>
    <xf numFmtId="0" fontId="2" fillId="0" borderId="0" xfId="0" applyFont="1" applyAlignment="1">
      <alignment horizontal="center"/>
    </xf>
    <xf numFmtId="49" fontId="25" fillId="0" borderId="26" xfId="0" applyNumberFormat="1" applyFont="1" applyBorder="1" applyAlignment="1">
      <alignment horizontal="center" vertical="center" wrapText="1"/>
    </xf>
    <xf numFmtId="49" fontId="25" fillId="0" borderId="27" xfId="0" applyNumberFormat="1" applyFont="1" applyBorder="1" applyAlignment="1">
      <alignment horizontal="center" vertical="center" wrapText="1"/>
    </xf>
    <xf numFmtId="49" fontId="25" fillId="0" borderId="28" xfId="0" applyNumberFormat="1" applyFont="1" applyBorder="1" applyAlignment="1">
      <alignment horizontal="center" vertical="center" wrapText="1"/>
    </xf>
    <xf numFmtId="0" fontId="21" fillId="22" borderId="15" xfId="0" applyFont="1" applyFill="1" applyBorder="1" applyAlignment="1">
      <alignment horizontal="right" wrapText="1"/>
    </xf>
    <xf numFmtId="0" fontId="25" fillId="13" borderId="17" xfId="0" applyFont="1" applyFill="1" applyBorder="1" applyAlignment="1">
      <alignment horizontal="center"/>
    </xf>
    <xf numFmtId="0" fontId="25" fillId="13" borderId="29" xfId="0" applyFont="1" applyFill="1" applyBorder="1" applyAlignment="1">
      <alignment horizontal="center"/>
    </xf>
    <xf numFmtId="0" fontId="21" fillId="0" borderId="15" xfId="0" applyFont="1" applyFill="1" applyBorder="1" applyAlignment="1">
      <alignment horizontal="right"/>
    </xf>
    <xf numFmtId="0" fontId="21" fillId="0" borderId="17" xfId="0" applyFont="1" applyFill="1" applyBorder="1" applyAlignment="1">
      <alignment horizontal="right" wrapText="1"/>
    </xf>
    <xf numFmtId="0" fontId="21" fillId="0" borderId="29" xfId="0" applyFont="1" applyFill="1" applyBorder="1" applyAlignment="1">
      <alignment horizontal="right"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9" xfId="0" applyFont="1" applyBorder="1" applyAlignment="1">
      <alignment horizontal="center" vertical="center" wrapText="1"/>
    </xf>
    <xf numFmtId="0" fontId="2" fillId="0" borderId="0" xfId="0" applyFont="1" applyFill="1" applyBorder="1" applyAlignment="1">
      <alignment horizontal="center"/>
    </xf>
    <xf numFmtId="0" fontId="0" fillId="0" borderId="0" xfId="0" applyAlignment="1">
      <alignment horizontal="center" wrapText="1"/>
    </xf>
    <xf numFmtId="0" fontId="19" fillId="0" borderId="0" xfId="0" applyFont="1" applyAlignment="1">
      <alignment horizontal="left" vertical="top"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0" borderId="0" xfId="0" applyFont="1" applyAlignment="1">
      <alignment horizontal="center" wrapText="1"/>
    </xf>
    <xf numFmtId="0" fontId="2" fillId="0" borderId="0" xfId="0" applyFont="1" applyFill="1" applyAlignment="1">
      <alignment horizontal="center"/>
    </xf>
    <xf numFmtId="0" fontId="18" fillId="11" borderId="24"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2" fillId="0" borderId="21" xfId="0" applyFont="1" applyBorder="1" applyAlignment="1">
      <alignment horizontal="center"/>
    </xf>
    <xf numFmtId="3" fontId="0" fillId="0" borderId="18" xfId="0" applyNumberFormat="1" applyBorder="1"/>
    <xf numFmtId="5" fontId="0" fillId="0" borderId="0" xfId="0" applyNumberFormat="1"/>
    <xf numFmtId="0" fontId="0" fillId="0" borderId="0" xfId="0" applyAlignment="1">
      <alignment horizontal="center" vertical="top" wrapText="1"/>
    </xf>
  </cellXfs>
  <cellStyles count="5">
    <cellStyle name="Comma" xfId="1" builtinId="3"/>
    <cellStyle name="Currency" xfId="4" builtinId="4"/>
    <cellStyle name="Normal" xfId="0" builtinId="0"/>
    <cellStyle name="Normal 3" xfId="2"/>
    <cellStyle name="Percent" xfId="3" builtinId="5"/>
  </cellStyles>
  <dxfs count="1">
    <dxf>
      <font>
        <color rgb="FF9C0006"/>
      </font>
      <fill>
        <patternFill>
          <bgColor rgb="FFFFC7CE"/>
        </patternFill>
      </fill>
    </dxf>
  </dxfs>
  <tableStyles count="0" defaultTableStyle="TableStyleMedium2" defaultPivotStyle="PivotStyleLight16"/>
  <colors>
    <mruColors>
      <color rgb="FFFFCC99"/>
      <color rgb="FFFFFF99"/>
      <color rgb="FFF9F2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APA">
  <a:themeElements>
    <a:clrScheme name="APA2014">
      <a:dk1>
        <a:sysClr val="windowText" lastClr="000000"/>
      </a:dk1>
      <a:lt1>
        <a:sysClr val="window" lastClr="FFFFFF"/>
      </a:lt1>
      <a:dk2>
        <a:srgbClr val="648C60"/>
      </a:dk2>
      <a:lt2>
        <a:srgbClr val="B9E649"/>
      </a:lt2>
      <a:accent1>
        <a:srgbClr val="648C60"/>
      </a:accent1>
      <a:accent2>
        <a:srgbClr val="8FB08C"/>
      </a:accent2>
      <a:accent3>
        <a:srgbClr val="B9E649"/>
      </a:accent3>
      <a:accent4>
        <a:srgbClr val="646B86"/>
      </a:accent4>
      <a:accent5>
        <a:srgbClr val="A0A5B8"/>
      </a:accent5>
      <a:accent6>
        <a:srgbClr val="8C7B96"/>
      </a:accent6>
      <a:hlink>
        <a:srgbClr val="B9E649"/>
      </a:hlink>
      <a:folHlink>
        <a:srgbClr val="B9E649"/>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110" zoomScaleNormal="110" workbookViewId="0">
      <selection activeCell="L11" sqref="L11"/>
    </sheetView>
  </sheetViews>
  <sheetFormatPr defaultColWidth="8.85546875" defaultRowHeight="15"/>
  <cols>
    <col min="1" max="1" width="33.140625" customWidth="1"/>
    <col min="2" max="2" width="12.42578125" customWidth="1"/>
    <col min="3" max="3" width="3.7109375" customWidth="1"/>
    <col min="4" max="4" width="55.140625" customWidth="1"/>
    <col min="5" max="5" width="22.42578125" customWidth="1"/>
    <col min="6" max="6" width="3.42578125" customWidth="1"/>
    <col min="7" max="7" width="31.7109375" customWidth="1"/>
    <col min="8" max="8" width="22.42578125" customWidth="1"/>
  </cols>
  <sheetData>
    <row r="1" spans="1:11" ht="37.5" customHeight="1" thickBot="1">
      <c r="A1" s="326" t="s">
        <v>820</v>
      </c>
      <c r="B1" s="326"/>
      <c r="C1" s="326"/>
      <c r="D1" s="326"/>
      <c r="E1" s="326"/>
      <c r="F1" s="326"/>
      <c r="G1" s="326"/>
      <c r="H1" s="326"/>
    </row>
    <row r="2" spans="1:11" ht="24.95" customHeight="1">
      <c r="A2" s="99"/>
      <c r="B2" s="99"/>
      <c r="C2" s="44"/>
      <c r="D2" s="112" t="s">
        <v>840</v>
      </c>
      <c r="E2" s="111">
        <f>'Budget Estimating Tool'!C29+H6</f>
        <v>1716696300</v>
      </c>
      <c r="F2" s="44"/>
      <c r="G2" s="99"/>
      <c r="H2" s="99"/>
    </row>
    <row r="3" spans="1:11" ht="48" customHeight="1" thickBot="1">
      <c r="A3" s="99"/>
      <c r="B3" s="99"/>
      <c r="C3" s="44"/>
      <c r="D3" s="324" t="s">
        <v>880</v>
      </c>
      <c r="E3" s="262">
        <f>E2/Calculations!AA177</f>
        <v>4909.7166645825964</v>
      </c>
      <c r="F3" s="44"/>
      <c r="G3" s="99"/>
      <c r="H3" s="99"/>
    </row>
    <row r="4" spans="1:11" ht="2.25" customHeight="1" thickBot="1">
      <c r="A4" s="100"/>
      <c r="B4" s="101"/>
      <c r="C4" s="44"/>
      <c r="D4" s="99"/>
      <c r="E4" s="99"/>
      <c r="F4" s="44"/>
      <c r="G4" s="99"/>
      <c r="H4" s="99"/>
    </row>
    <row r="5" spans="1:11" ht="39" customHeight="1">
      <c r="A5" s="327" t="s">
        <v>529</v>
      </c>
      <c r="B5" s="328"/>
      <c r="C5" s="45"/>
      <c r="D5" s="345" t="s">
        <v>530</v>
      </c>
      <c r="E5" s="346"/>
      <c r="F5" s="45"/>
      <c r="G5" s="331" t="s">
        <v>527</v>
      </c>
      <c r="H5" s="332"/>
    </row>
    <row r="6" spans="1:11" ht="24.95" customHeight="1">
      <c r="A6" s="343" t="s">
        <v>315</v>
      </c>
      <c r="B6" s="344"/>
      <c r="C6" s="44"/>
      <c r="D6" s="113" t="s">
        <v>573</v>
      </c>
      <c r="E6" s="114"/>
      <c r="F6" s="44"/>
      <c r="G6" s="325" t="s">
        <v>837</v>
      </c>
      <c r="H6" s="97">
        <v>86000000</v>
      </c>
      <c r="I6" s="376" t="s">
        <v>882</v>
      </c>
      <c r="J6" s="376"/>
      <c r="K6" s="376"/>
    </row>
    <row r="7" spans="1:11" ht="24.95" customHeight="1">
      <c r="A7" s="335" t="str">
        <f>settings!F3</f>
        <v>Enrollment</v>
      </c>
      <c r="B7" s="336"/>
      <c r="C7" s="44"/>
      <c r="D7" s="67" t="s">
        <v>576</v>
      </c>
      <c r="E7" s="47">
        <v>330</v>
      </c>
      <c r="F7" s="44"/>
      <c r="G7" s="98"/>
      <c r="H7" s="98"/>
      <c r="I7" s="376"/>
      <c r="J7" s="376"/>
      <c r="K7" s="376"/>
    </row>
    <row r="8" spans="1:11" ht="24.95" customHeight="1">
      <c r="A8" s="337"/>
      <c r="B8" s="337"/>
      <c r="C8" s="44"/>
      <c r="D8" s="68" t="s">
        <v>577</v>
      </c>
      <c r="E8" s="48">
        <v>870</v>
      </c>
      <c r="F8" s="44"/>
      <c r="G8" s="78" t="s">
        <v>323</v>
      </c>
      <c r="H8" s="78"/>
    </row>
    <row r="9" spans="1:11" ht="24.95" customHeight="1">
      <c r="A9" s="333" t="s">
        <v>568</v>
      </c>
      <c r="B9" s="334"/>
      <c r="C9" s="44"/>
      <c r="D9" s="67" t="s">
        <v>286</v>
      </c>
      <c r="E9" s="47" t="s">
        <v>283</v>
      </c>
      <c r="F9" s="44"/>
      <c r="G9" s="72" t="s">
        <v>832</v>
      </c>
      <c r="H9" s="96" t="s">
        <v>284</v>
      </c>
    </row>
    <row r="10" spans="1:11" ht="36.75" customHeight="1">
      <c r="A10" s="329" t="s">
        <v>540</v>
      </c>
      <c r="B10" s="330"/>
      <c r="C10" s="44"/>
      <c r="D10" s="68" t="s">
        <v>287</v>
      </c>
      <c r="E10" s="48" t="s">
        <v>284</v>
      </c>
      <c r="F10" s="44"/>
      <c r="G10" s="189" t="s">
        <v>585</v>
      </c>
      <c r="H10" s="109">
        <v>0.05</v>
      </c>
    </row>
    <row r="11" spans="1:11" ht="40.5" customHeight="1" thickBot="1">
      <c r="A11" s="67" t="s">
        <v>252</v>
      </c>
      <c r="B11" s="122">
        <v>0.1</v>
      </c>
      <c r="C11" s="44"/>
      <c r="D11" s="260" t="s">
        <v>819</v>
      </c>
      <c r="E11" s="191">
        <v>100</v>
      </c>
      <c r="F11" s="44"/>
      <c r="G11" s="261" t="s">
        <v>833</v>
      </c>
      <c r="H11" s="192">
        <v>0.03</v>
      </c>
    </row>
    <row r="12" spans="1:11" ht="21" customHeight="1">
      <c r="A12" s="350"/>
      <c r="B12" s="350"/>
      <c r="C12" s="44"/>
      <c r="D12" s="76" t="s">
        <v>574</v>
      </c>
      <c r="E12" s="77"/>
      <c r="F12" s="44"/>
      <c r="G12" s="349" t="s">
        <v>821</v>
      </c>
      <c r="H12" s="349"/>
    </row>
    <row r="13" spans="1:11" ht="24.95" customHeight="1">
      <c r="A13" s="347" t="s">
        <v>2</v>
      </c>
      <c r="B13" s="348"/>
      <c r="C13" s="44"/>
      <c r="D13" s="46" t="s">
        <v>413</v>
      </c>
      <c r="E13" s="48" t="s">
        <v>414</v>
      </c>
      <c r="F13" s="44"/>
      <c r="G13" s="102" t="s">
        <v>812</v>
      </c>
      <c r="H13" s="103">
        <f>'Minimum and Maximum Funding'!U177</f>
        <v>1818938.407706711</v>
      </c>
    </row>
    <row r="14" spans="1:11" ht="24.95" customHeight="1">
      <c r="A14" s="115" t="s">
        <v>252</v>
      </c>
      <c r="B14" s="123">
        <v>0.1</v>
      </c>
      <c r="C14" s="44"/>
      <c r="F14" s="44"/>
      <c r="G14" s="108" t="s">
        <v>822</v>
      </c>
      <c r="H14" s="110">
        <f>'Minimum and Maximum Funding'!U178</f>
        <v>-53782629.500766113</v>
      </c>
    </row>
    <row r="15" spans="1:11" ht="24.95" customHeight="1">
      <c r="A15" s="92" t="s">
        <v>528</v>
      </c>
      <c r="B15" s="93"/>
      <c r="C15" s="44"/>
      <c r="D15" s="79" t="s">
        <v>575</v>
      </c>
      <c r="E15" s="80"/>
      <c r="F15" s="44"/>
      <c r="G15" s="338" t="s">
        <v>587</v>
      </c>
      <c r="H15" s="338"/>
    </row>
    <row r="16" spans="1:11" ht="24.95" customHeight="1" thickBot="1">
      <c r="A16" s="71" t="s">
        <v>252</v>
      </c>
      <c r="B16" s="124">
        <v>0.02</v>
      </c>
      <c r="C16" s="44"/>
      <c r="D16" s="104" t="s">
        <v>578</v>
      </c>
      <c r="E16" s="105" t="s">
        <v>285</v>
      </c>
      <c r="F16" s="44"/>
      <c r="G16" s="102" t="s">
        <v>588</v>
      </c>
      <c r="H16" s="103">
        <f>'Minimum and Maximum Funding'!T177</f>
        <v>3905169.6845007474</v>
      </c>
    </row>
    <row r="17" spans="1:8" ht="24.95" customHeight="1">
      <c r="A17" s="339" t="s">
        <v>3</v>
      </c>
      <c r="B17" s="340"/>
      <c r="C17" s="44"/>
      <c r="D17" s="69" t="s">
        <v>575</v>
      </c>
      <c r="E17" s="94">
        <v>0.02</v>
      </c>
      <c r="F17" s="44"/>
      <c r="G17" s="108" t="s">
        <v>823</v>
      </c>
      <c r="H17" s="110">
        <f>'Minimum and Maximum Funding'!T178</f>
        <v>-51696398.223972075</v>
      </c>
    </row>
    <row r="18" spans="1:8" ht="24.95" customHeight="1">
      <c r="A18" s="70" t="s">
        <v>252</v>
      </c>
      <c r="B18" s="123">
        <v>0.1</v>
      </c>
      <c r="C18" s="44"/>
      <c r="F18" s="44"/>
      <c r="G18" s="99"/>
      <c r="H18" s="99"/>
    </row>
    <row r="19" spans="1:8" ht="24.95" customHeight="1">
      <c r="A19" s="341" t="s">
        <v>4</v>
      </c>
      <c r="B19" s="342"/>
      <c r="C19" s="44"/>
      <c r="D19" s="75" t="s">
        <v>818</v>
      </c>
      <c r="E19" s="75"/>
      <c r="F19" s="44"/>
      <c r="G19" s="99"/>
      <c r="H19" s="99"/>
    </row>
    <row r="20" spans="1:8" ht="24.95" customHeight="1">
      <c r="A20" s="70" t="s">
        <v>253</v>
      </c>
      <c r="B20" s="123">
        <v>0.1</v>
      </c>
      <c r="C20" s="44"/>
      <c r="D20" s="56" t="s">
        <v>825</v>
      </c>
      <c r="E20" s="95" t="s">
        <v>285</v>
      </c>
      <c r="F20" s="44"/>
      <c r="G20" s="99"/>
      <c r="H20" s="99"/>
    </row>
    <row r="21" spans="1:8" ht="24.95" customHeight="1">
      <c r="A21" s="68" t="s">
        <v>254</v>
      </c>
      <c r="B21" s="125">
        <v>0.1</v>
      </c>
      <c r="C21" s="44"/>
      <c r="D21" s="106" t="s">
        <v>824</v>
      </c>
      <c r="E21" s="107">
        <v>0.1</v>
      </c>
      <c r="F21" s="44"/>
      <c r="G21" s="99"/>
      <c r="H21" s="99"/>
    </row>
    <row r="22" spans="1:8" ht="32.25" customHeight="1">
      <c r="A22" s="25"/>
      <c r="B22" s="25"/>
      <c r="C22" s="44"/>
      <c r="D22" s="75" t="s">
        <v>828</v>
      </c>
      <c r="E22" s="75"/>
      <c r="F22" s="44"/>
      <c r="G22" s="25"/>
      <c r="H22" s="25"/>
    </row>
    <row r="23" spans="1:8" ht="24.95" customHeight="1">
      <c r="A23" s="25"/>
      <c r="B23" s="25"/>
      <c r="C23" s="44"/>
      <c r="D23" s="56" t="s">
        <v>796</v>
      </c>
      <c r="E23" s="95" t="s">
        <v>285</v>
      </c>
      <c r="F23" s="44"/>
      <c r="G23" s="25"/>
      <c r="H23" s="25"/>
    </row>
    <row r="24" spans="1:8" ht="24.95" customHeight="1">
      <c r="A24" s="25"/>
      <c r="B24" s="25"/>
      <c r="C24" s="44"/>
      <c r="D24" s="106" t="s">
        <v>797</v>
      </c>
      <c r="E24" s="107">
        <v>0.05</v>
      </c>
      <c r="F24" s="44"/>
      <c r="G24" s="25"/>
      <c r="H24" s="25"/>
    </row>
    <row r="25" spans="1:8" ht="24.95" customHeight="1">
      <c r="C25" s="27"/>
      <c r="F25" s="27"/>
    </row>
    <row r="26" spans="1:8" ht="24.95" customHeight="1">
      <c r="C26" s="27"/>
      <c r="F26" s="27"/>
    </row>
    <row r="27" spans="1:8" ht="24.95" customHeight="1">
      <c r="C27" s="66"/>
      <c r="F27" s="66"/>
    </row>
    <row r="28" spans="1:8" ht="24.95" customHeight="1">
      <c r="C28" s="66"/>
      <c r="F28" s="66"/>
    </row>
    <row r="29" spans="1:8">
      <c r="C29" s="66"/>
      <c r="F29" s="66"/>
    </row>
  </sheetData>
  <mergeCells count="16">
    <mergeCell ref="I6:K7"/>
    <mergeCell ref="G15:H15"/>
    <mergeCell ref="A17:B17"/>
    <mergeCell ref="A19:B19"/>
    <mergeCell ref="A6:B6"/>
    <mergeCell ref="D5:E5"/>
    <mergeCell ref="A13:B13"/>
    <mergeCell ref="G12:H12"/>
    <mergeCell ref="A12:B12"/>
    <mergeCell ref="A1:H1"/>
    <mergeCell ref="A5:B5"/>
    <mergeCell ref="A10:B10"/>
    <mergeCell ref="G5:H5"/>
    <mergeCell ref="A9:B9"/>
    <mergeCell ref="A7:B7"/>
    <mergeCell ref="A8:B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DropDown="1" showInputMessage="1" showErrorMessage="1">
          <x14:formula1>
            <xm:f>settings!$A$2</xm:f>
          </x14:formula1>
          <xm:sqref>A10</xm:sqref>
        </x14:dataValidation>
        <x14:dataValidation type="list" allowBlank="1" showInputMessage="1" showErrorMessage="1">
          <x14:formula1>
            <xm:f>settings!$C$2:$C$3</xm:f>
          </x14:formula1>
          <xm:sqref>E9</xm:sqref>
        </x14:dataValidation>
        <x14:dataValidation type="list" allowBlank="1" showInputMessage="1" showErrorMessage="1">
          <x14:formula1>
            <xm:f>settings!$C$5:$C$6</xm:f>
          </x14:formula1>
          <xm:sqref>E10</xm:sqref>
        </x14:dataValidation>
        <x14:dataValidation type="list" allowBlank="1" showDropDown="1" showInputMessage="1" showErrorMessage="1">
          <x14:formula1>
            <xm:f>settings!$F$3:$F$3</xm:f>
          </x14:formula1>
          <xm:sqref>A7</xm:sqref>
        </x14:dataValidation>
        <x14:dataValidation type="list" allowBlank="1" showInputMessage="1" showErrorMessage="1">
          <x14:formula1>
            <xm:f>settings!$I$2:$I$3</xm:f>
          </x14:formula1>
          <xm:sqref>H9</xm:sqref>
        </x14:dataValidation>
        <x14:dataValidation type="list" allowBlank="1" showInputMessage="1" showErrorMessage="1">
          <x14:formula1>
            <xm:f>settings!$K$2:$K$3</xm:f>
          </x14:formula1>
          <xm:sqref>E13</xm:sqref>
        </x14:dataValidation>
        <x14:dataValidation type="list" allowBlank="1" showInputMessage="1" showErrorMessage="1">
          <x14:formula1>
            <xm:f>settings!$N$2:$N$3</xm:f>
          </x14:formula1>
          <xm:sqref>E16</xm:sqref>
        </x14:dataValidation>
        <x14:dataValidation type="list" allowBlank="1" showInputMessage="1" showErrorMessage="1">
          <x14:formula1>
            <xm:f>settings!$A$11:$A$12</xm:f>
          </x14:formula1>
          <xm:sqref>E20</xm:sqref>
        </x14:dataValidation>
        <x14:dataValidation type="list" allowBlank="1" showInputMessage="1" showErrorMessage="1">
          <x14:formula1>
            <xm:f>settings!$E$11:$E$12</xm:f>
          </x14:formula1>
          <xm:sqref>E23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4"/>
  <sheetViews>
    <sheetView topLeftCell="E1" workbookViewId="0">
      <selection activeCell="L3" sqref="L3:L175"/>
    </sheetView>
  </sheetViews>
  <sheetFormatPr defaultColWidth="8.85546875" defaultRowHeight="15"/>
  <cols>
    <col min="1" max="1" width="8.42578125" style="212" customWidth="1"/>
    <col min="2" max="2" width="53.7109375" style="212" bestFit="1" customWidth="1"/>
    <col min="3" max="3" width="17" style="227" customWidth="1"/>
    <col min="4" max="4" width="17.85546875" style="215" customWidth="1"/>
    <col min="5" max="5" width="18.42578125" style="215" customWidth="1"/>
    <col min="6" max="6" width="6.85546875" style="212" customWidth="1"/>
    <col min="7" max="7" width="19.28515625" style="215" customWidth="1"/>
    <col min="8" max="8" width="21" style="237" customWidth="1"/>
    <col min="9" max="9" width="7.7109375" style="238" customWidth="1"/>
    <col min="10" max="11" width="21.28515625" style="230" customWidth="1"/>
  </cols>
  <sheetData>
    <row r="1" spans="1:13">
      <c r="C1" s="213"/>
      <c r="D1" s="214"/>
      <c r="F1" s="216"/>
      <c r="G1" s="367" t="s">
        <v>607</v>
      </c>
      <c r="H1" s="368"/>
      <c r="I1" s="217"/>
      <c r="J1" s="218"/>
      <c r="K1" s="218"/>
    </row>
    <row r="2" spans="1:13" ht="28.5">
      <c r="A2" s="219" t="s">
        <v>608</v>
      </c>
      <c r="B2" s="220" t="s">
        <v>609</v>
      </c>
      <c r="C2" s="220" t="s">
        <v>610</v>
      </c>
      <c r="D2" s="220" t="s">
        <v>611</v>
      </c>
      <c r="E2" s="220" t="s">
        <v>612</v>
      </c>
      <c r="F2" s="216"/>
      <c r="G2" s="220" t="s">
        <v>611</v>
      </c>
      <c r="H2" s="221" t="s">
        <v>613</v>
      </c>
      <c r="I2" s="222"/>
      <c r="J2" s="218" t="s">
        <v>614</v>
      </c>
      <c r="K2" s="218" t="s">
        <v>615</v>
      </c>
      <c r="L2" t="s">
        <v>329</v>
      </c>
    </row>
    <row r="3" spans="1:13">
      <c r="A3" s="223">
        <v>1</v>
      </c>
      <c r="B3" s="224" t="s">
        <v>616</v>
      </c>
      <c r="C3" s="225">
        <v>1505.22</v>
      </c>
      <c r="D3" s="226">
        <v>45345.66</v>
      </c>
      <c r="E3" s="227">
        <f t="shared" ref="E3:E66" si="0">ROUND(C3*D3,2)</f>
        <v>68255194.349999994</v>
      </c>
      <c r="F3" s="216"/>
      <c r="G3" s="226">
        <f t="shared" ref="G3:G66" si="1">D3-$D$178</f>
        <v>1911.1400000000067</v>
      </c>
      <c r="H3" s="228">
        <f t="shared" ref="H3:H66" si="2">MAX(G3/$D$178)</f>
        <v>4.4000486249186288E-2</v>
      </c>
      <c r="I3" s="229"/>
      <c r="J3" s="230">
        <f t="shared" ref="J3:J66" si="3">MAX(G3/$D$178,0)*0.557</f>
        <v>2.4508270840796764E-2</v>
      </c>
      <c r="K3" s="230">
        <f t="shared" ref="K3:K66" si="4">MIN(J3,$M$3)</f>
        <v>2.4508270840796764E-2</v>
      </c>
      <c r="L3">
        <f>K3*Calculations!Y3</f>
        <v>683.25248165537937</v>
      </c>
      <c r="M3" s="63">
        <f>'Front page'!E24</f>
        <v>0.05</v>
      </c>
    </row>
    <row r="4" spans="1:13">
      <c r="A4" s="223">
        <v>2</v>
      </c>
      <c r="B4" s="224" t="s">
        <v>617</v>
      </c>
      <c r="C4" s="225">
        <v>1873.91777777778</v>
      </c>
      <c r="D4" s="226">
        <v>43801.18</v>
      </c>
      <c r="E4" s="227">
        <f t="shared" si="0"/>
        <v>82079809.890000001</v>
      </c>
      <c r="F4" s="216"/>
      <c r="G4" s="226">
        <f t="shared" si="1"/>
        <v>366.66000000000349</v>
      </c>
      <c r="H4" s="228">
        <f t="shared" si="2"/>
        <v>8.4416726603633134E-3</v>
      </c>
      <c r="I4" s="229"/>
      <c r="J4" s="230">
        <f t="shared" si="3"/>
        <v>4.7020116718223658E-3</v>
      </c>
      <c r="K4" s="230">
        <f t="shared" si="4"/>
        <v>4.7020116718223658E-3</v>
      </c>
      <c r="L4">
        <f>K4*Calculations!Y4</f>
        <v>196.05957941543838</v>
      </c>
    </row>
    <row r="5" spans="1:13">
      <c r="A5" s="223">
        <v>3</v>
      </c>
      <c r="B5" s="224" t="s">
        <v>618</v>
      </c>
      <c r="C5" s="225">
        <v>268.12151999999998</v>
      </c>
      <c r="D5" s="226">
        <v>42593.61</v>
      </c>
      <c r="E5" s="227">
        <f t="shared" si="0"/>
        <v>11420263.460000001</v>
      </c>
      <c r="F5" s="216"/>
      <c r="G5" s="226">
        <f t="shared" si="1"/>
        <v>-840.90999999999622</v>
      </c>
      <c r="H5" s="228">
        <f t="shared" si="2"/>
        <v>-1.9360407344204477E-2</v>
      </c>
      <c r="I5" s="229"/>
      <c r="J5" s="230">
        <f t="shared" si="3"/>
        <v>0</v>
      </c>
      <c r="K5" s="230">
        <f t="shared" si="4"/>
        <v>0</v>
      </c>
      <c r="L5">
        <f>K5*Calculations!Y5</f>
        <v>0</v>
      </c>
    </row>
    <row r="6" spans="1:13">
      <c r="A6" s="223">
        <v>11</v>
      </c>
      <c r="B6" s="231" t="s">
        <v>619</v>
      </c>
      <c r="C6" s="225">
        <v>16.23</v>
      </c>
      <c r="D6" s="226">
        <v>42993.04</v>
      </c>
      <c r="E6" s="227">
        <f t="shared" si="0"/>
        <v>697777.04</v>
      </c>
      <c r="F6" s="216"/>
      <c r="G6" s="226">
        <f t="shared" si="1"/>
        <v>-441.47999999999593</v>
      </c>
      <c r="H6" s="228">
        <f t="shared" si="2"/>
        <v>-1.0164265657822302E-2</v>
      </c>
      <c r="I6" s="229"/>
      <c r="J6" s="230">
        <f t="shared" si="3"/>
        <v>0</v>
      </c>
      <c r="K6" s="230">
        <f t="shared" si="4"/>
        <v>0</v>
      </c>
      <c r="L6">
        <f>K6*Calculations!Y6</f>
        <v>0</v>
      </c>
    </row>
    <row r="7" spans="1:13">
      <c r="A7" s="223">
        <v>13</v>
      </c>
      <c r="B7" s="232" t="s">
        <v>620</v>
      </c>
      <c r="C7" s="225">
        <v>18.02</v>
      </c>
      <c r="D7" s="226">
        <v>44881.27</v>
      </c>
      <c r="E7" s="227">
        <f t="shared" si="0"/>
        <v>808760.49</v>
      </c>
      <c r="F7" s="216"/>
      <c r="G7" s="226">
        <f t="shared" si="1"/>
        <v>1446.75</v>
      </c>
      <c r="H7" s="228">
        <f t="shared" si="2"/>
        <v>3.3308759944854924E-2</v>
      </c>
      <c r="I7" s="229"/>
      <c r="J7" s="230">
        <f t="shared" si="3"/>
        <v>1.8552979289284195E-2</v>
      </c>
      <c r="K7" s="230">
        <f t="shared" si="4"/>
        <v>1.8552979289284195E-2</v>
      </c>
      <c r="L7">
        <f>K7*Calculations!Y7</f>
        <v>8.6272642516554097</v>
      </c>
    </row>
    <row r="8" spans="1:13">
      <c r="A8" s="223">
        <v>21</v>
      </c>
      <c r="B8" s="231" t="s">
        <v>621</v>
      </c>
      <c r="C8" s="233">
        <v>70.88</v>
      </c>
      <c r="D8" s="226">
        <v>42599.98</v>
      </c>
      <c r="E8" s="227">
        <f t="shared" si="0"/>
        <v>3019486.58</v>
      </c>
      <c r="F8" s="216"/>
      <c r="G8" s="226">
        <f t="shared" si="1"/>
        <v>-834.5399999999936</v>
      </c>
      <c r="H8" s="228">
        <f t="shared" si="2"/>
        <v>-1.92137498008495E-2</v>
      </c>
      <c r="I8" s="229"/>
      <c r="J8" s="230">
        <f t="shared" si="3"/>
        <v>0</v>
      </c>
      <c r="K8" s="230">
        <f t="shared" si="4"/>
        <v>0</v>
      </c>
      <c r="L8">
        <f>K8*Calculations!Y8</f>
        <v>0</v>
      </c>
    </row>
    <row r="9" spans="1:13">
      <c r="A9" s="223">
        <v>25</v>
      </c>
      <c r="B9" s="224" t="s">
        <v>622</v>
      </c>
      <c r="C9" s="225">
        <v>593.41200000000003</v>
      </c>
      <c r="D9" s="226">
        <v>43783.4</v>
      </c>
      <c r="E9" s="227">
        <f t="shared" si="0"/>
        <v>25981594.960000001</v>
      </c>
      <c r="F9" s="216"/>
      <c r="G9" s="226">
        <f t="shared" si="1"/>
        <v>348.88000000000466</v>
      </c>
      <c r="H9" s="228">
        <f t="shared" si="2"/>
        <v>8.0323208360540115E-3</v>
      </c>
      <c r="I9" s="229"/>
      <c r="J9" s="230">
        <f t="shared" si="3"/>
        <v>4.4740027056820852E-3</v>
      </c>
      <c r="K9" s="230">
        <f t="shared" si="4"/>
        <v>4.4740027056820852E-3</v>
      </c>
      <c r="L9">
        <f>K9*Calculations!Y9</f>
        <v>60.773897116754796</v>
      </c>
    </row>
    <row r="10" spans="1:13">
      <c r="A10" s="223">
        <v>33</v>
      </c>
      <c r="B10" s="231" t="s">
        <v>623</v>
      </c>
      <c r="C10" s="225">
        <v>64.266000000000005</v>
      </c>
      <c r="D10" s="226">
        <v>42023.99</v>
      </c>
      <c r="E10" s="227">
        <f t="shared" si="0"/>
        <v>2700713.74</v>
      </c>
      <c r="F10" s="216"/>
      <c r="G10" s="226">
        <f t="shared" si="1"/>
        <v>-1410.5299999999988</v>
      </c>
      <c r="H10" s="228">
        <f t="shared" si="2"/>
        <v>-3.2474861009169638E-2</v>
      </c>
      <c r="I10" s="229"/>
      <c r="J10" s="230">
        <f t="shared" si="3"/>
        <v>0</v>
      </c>
      <c r="K10" s="230">
        <f t="shared" si="4"/>
        <v>0</v>
      </c>
      <c r="L10">
        <f>K10*Calculations!Y10</f>
        <v>0</v>
      </c>
    </row>
    <row r="11" spans="1:13">
      <c r="A11" s="223">
        <v>41</v>
      </c>
      <c r="B11" s="224" t="s">
        <v>624</v>
      </c>
      <c r="C11" s="225">
        <v>56.22</v>
      </c>
      <c r="D11" s="226">
        <v>43230.03</v>
      </c>
      <c r="E11" s="227">
        <f t="shared" si="0"/>
        <v>2430392.29</v>
      </c>
      <c r="F11" s="216"/>
      <c r="G11" s="226">
        <f t="shared" si="1"/>
        <v>-204.48999999999796</v>
      </c>
      <c r="H11" s="228">
        <f t="shared" si="2"/>
        <v>-4.7080064428016693E-3</v>
      </c>
      <c r="I11" s="229"/>
      <c r="J11" s="230">
        <f t="shared" si="3"/>
        <v>0</v>
      </c>
      <c r="K11" s="230">
        <f t="shared" si="4"/>
        <v>0</v>
      </c>
      <c r="L11">
        <f>K11*Calculations!Y11</f>
        <v>0</v>
      </c>
    </row>
    <row r="12" spans="1:13">
      <c r="A12" s="223">
        <v>44</v>
      </c>
      <c r="B12" s="231" t="s">
        <v>625</v>
      </c>
      <c r="C12" s="225">
        <v>27.25</v>
      </c>
      <c r="D12" s="226">
        <v>42092.97</v>
      </c>
      <c r="E12" s="227">
        <f t="shared" si="0"/>
        <v>1147033.43</v>
      </c>
      <c r="F12" s="216"/>
      <c r="G12" s="226">
        <f t="shared" si="1"/>
        <v>-1341.5499999999956</v>
      </c>
      <c r="H12" s="228">
        <f t="shared" si="2"/>
        <v>-3.0886723279087595E-2</v>
      </c>
      <c r="I12" s="229"/>
      <c r="J12" s="230">
        <f t="shared" si="3"/>
        <v>0</v>
      </c>
      <c r="K12" s="230">
        <f t="shared" si="4"/>
        <v>0</v>
      </c>
      <c r="L12">
        <f>K12*Calculations!Y12</f>
        <v>0</v>
      </c>
    </row>
    <row r="13" spans="1:13">
      <c r="A13" s="223">
        <v>52</v>
      </c>
      <c r="B13" s="234" t="s">
        <v>626</v>
      </c>
      <c r="C13" s="225">
        <v>91.75</v>
      </c>
      <c r="D13" s="226">
        <v>42486.79</v>
      </c>
      <c r="E13" s="227">
        <f t="shared" si="0"/>
        <v>3898162.98</v>
      </c>
      <c r="F13" s="216"/>
      <c r="G13" s="226">
        <f t="shared" si="1"/>
        <v>-947.72999999999593</v>
      </c>
      <c r="H13" s="228">
        <f t="shared" si="2"/>
        <v>-2.1819741532771539E-2</v>
      </c>
      <c r="I13" s="229"/>
      <c r="J13" s="230">
        <f t="shared" si="3"/>
        <v>0</v>
      </c>
      <c r="K13" s="230">
        <f t="shared" si="4"/>
        <v>0</v>
      </c>
      <c r="L13">
        <f>K13*Calculations!Y13</f>
        <v>0</v>
      </c>
    </row>
    <row r="14" spans="1:13">
      <c r="A14" s="223">
        <v>55</v>
      </c>
      <c r="B14" s="224" t="s">
        <v>627</v>
      </c>
      <c r="C14" s="225">
        <v>197.05</v>
      </c>
      <c r="D14" s="226">
        <v>43563.25</v>
      </c>
      <c r="E14" s="227">
        <f t="shared" si="0"/>
        <v>8584138.4100000001</v>
      </c>
      <c r="F14" s="216"/>
      <c r="G14" s="226">
        <f t="shared" si="1"/>
        <v>128.7300000000032</v>
      </c>
      <c r="H14" s="228">
        <f t="shared" si="2"/>
        <v>2.9637716728538317E-3</v>
      </c>
      <c r="I14" s="229"/>
      <c r="J14" s="230">
        <f t="shared" si="3"/>
        <v>1.6508208217795844E-3</v>
      </c>
      <c r="K14" s="230">
        <f t="shared" si="4"/>
        <v>1.6508208217795844E-3</v>
      </c>
      <c r="L14">
        <f>K14*Calculations!Y14</f>
        <v>7.0266026409908671</v>
      </c>
    </row>
    <row r="15" spans="1:13">
      <c r="A15" s="223">
        <v>58</v>
      </c>
      <c r="B15" s="234" t="s">
        <v>628</v>
      </c>
      <c r="C15" s="225">
        <v>39.35</v>
      </c>
      <c r="D15" s="226">
        <v>43521.79</v>
      </c>
      <c r="E15" s="227">
        <f t="shared" si="0"/>
        <v>1712582.44</v>
      </c>
      <c r="F15" s="216"/>
      <c r="G15" s="226">
        <f t="shared" si="1"/>
        <v>87.270000000004075</v>
      </c>
      <c r="H15" s="228">
        <f t="shared" si="2"/>
        <v>2.0092313671246759E-3</v>
      </c>
      <c r="I15" s="229"/>
      <c r="J15" s="230">
        <f t="shared" si="3"/>
        <v>1.1191418714884445E-3</v>
      </c>
      <c r="K15" s="230">
        <f t="shared" si="4"/>
        <v>1.1191418714884445E-3</v>
      </c>
      <c r="L15">
        <f>K15*Calculations!Y15</f>
        <v>1.0726068912167319</v>
      </c>
    </row>
    <row r="16" spans="1:13">
      <c r="A16" s="223">
        <v>59</v>
      </c>
      <c r="B16" s="234" t="s">
        <v>629</v>
      </c>
      <c r="C16" s="225">
        <v>43.33</v>
      </c>
      <c r="D16" s="226">
        <v>45763.77</v>
      </c>
      <c r="E16" s="227">
        <f t="shared" si="0"/>
        <v>1982944.15</v>
      </c>
      <c r="F16" s="216"/>
      <c r="G16" s="226">
        <f t="shared" si="1"/>
        <v>2329.25</v>
      </c>
      <c r="H16" s="228">
        <f t="shared" si="2"/>
        <v>5.3626700605877542E-2</v>
      </c>
      <c r="I16" s="229"/>
      <c r="J16" s="230">
        <f t="shared" si="3"/>
        <v>2.9870072237473795E-2</v>
      </c>
      <c r="K16" s="230">
        <f t="shared" si="4"/>
        <v>2.9870072237473795E-2</v>
      </c>
      <c r="L16">
        <f>K16*Calculations!Y16</f>
        <v>31.057961750253508</v>
      </c>
    </row>
    <row r="17" spans="1:12">
      <c r="A17" s="223">
        <v>60</v>
      </c>
      <c r="B17" s="231" t="s">
        <v>630</v>
      </c>
      <c r="C17" s="225">
        <v>109.97</v>
      </c>
      <c r="D17" s="226">
        <v>41877.81</v>
      </c>
      <c r="E17" s="227">
        <f t="shared" si="0"/>
        <v>4605302.7699999996</v>
      </c>
      <c r="F17" s="216"/>
      <c r="G17" s="226">
        <f t="shared" si="1"/>
        <v>-1556.7099999999991</v>
      </c>
      <c r="H17" s="228">
        <f t="shared" si="2"/>
        <v>-3.5840386862799431E-2</v>
      </c>
      <c r="I17" s="229"/>
      <c r="J17" s="230">
        <f t="shared" si="3"/>
        <v>0</v>
      </c>
      <c r="K17" s="230">
        <f t="shared" si="4"/>
        <v>0</v>
      </c>
      <c r="L17">
        <f>K17*Calculations!Y17</f>
        <v>0</v>
      </c>
    </row>
    <row r="18" spans="1:12">
      <c r="A18" s="223">
        <v>61</v>
      </c>
      <c r="B18" s="224" t="s">
        <v>631</v>
      </c>
      <c r="C18" s="225">
        <v>256.67</v>
      </c>
      <c r="D18" s="226">
        <v>44258.97</v>
      </c>
      <c r="E18" s="227">
        <f t="shared" si="0"/>
        <v>11359949.83</v>
      </c>
      <c r="F18" s="216"/>
      <c r="G18" s="226">
        <f t="shared" si="1"/>
        <v>824.45000000000437</v>
      </c>
      <c r="H18" s="228">
        <f t="shared" si="2"/>
        <v>1.8981446094028537E-2</v>
      </c>
      <c r="I18" s="229"/>
      <c r="J18" s="230">
        <f t="shared" si="3"/>
        <v>1.0572665474373896E-2</v>
      </c>
      <c r="K18" s="230">
        <f t="shared" si="4"/>
        <v>1.0572665474373896E-2</v>
      </c>
      <c r="L18">
        <f>K18*Calculations!Y18</f>
        <v>39.150681591435976</v>
      </c>
    </row>
    <row r="19" spans="1:12">
      <c r="A19" s="223">
        <v>71</v>
      </c>
      <c r="B19" s="232" t="s">
        <v>632</v>
      </c>
      <c r="C19" s="225">
        <v>17.2</v>
      </c>
      <c r="D19" s="226">
        <v>46046.59</v>
      </c>
      <c r="E19" s="227">
        <f t="shared" si="0"/>
        <v>792001.35</v>
      </c>
      <c r="F19" s="216"/>
      <c r="G19" s="226">
        <f t="shared" si="1"/>
        <v>2612.0699999999997</v>
      </c>
      <c r="H19" s="228">
        <f t="shared" si="2"/>
        <v>6.0138111345538064E-2</v>
      </c>
      <c r="I19" s="229"/>
      <c r="J19" s="230">
        <f t="shared" si="3"/>
        <v>3.3496928019464703E-2</v>
      </c>
      <c r="K19" s="230">
        <f t="shared" si="4"/>
        <v>3.3496928019464703E-2</v>
      </c>
      <c r="L19">
        <f>K19*Calculations!Y19</f>
        <v>14.049435751299422</v>
      </c>
    </row>
    <row r="20" spans="1:12">
      <c r="A20" s="223">
        <v>72</v>
      </c>
      <c r="B20" s="232" t="s">
        <v>633</v>
      </c>
      <c r="C20" s="225">
        <v>24.73</v>
      </c>
      <c r="D20" s="226">
        <v>43432.56</v>
      </c>
      <c r="E20" s="227">
        <f t="shared" si="0"/>
        <v>1074087.21</v>
      </c>
      <c r="F20" s="216"/>
      <c r="G20" s="226">
        <f t="shared" si="1"/>
        <v>-1.9599999999991269</v>
      </c>
      <c r="H20" s="228">
        <f t="shared" si="2"/>
        <v>-4.5125397955338908E-5</v>
      </c>
      <c r="I20" s="229"/>
      <c r="J20" s="230">
        <f t="shared" si="3"/>
        <v>0</v>
      </c>
      <c r="K20" s="230">
        <f t="shared" si="4"/>
        <v>0</v>
      </c>
      <c r="L20">
        <f>K20*Calculations!Y20</f>
        <v>0</v>
      </c>
    </row>
    <row r="21" spans="1:12">
      <c r="A21" s="223">
        <v>73</v>
      </c>
      <c r="B21" s="232" t="s">
        <v>634</v>
      </c>
      <c r="C21" s="225">
        <v>16</v>
      </c>
      <c r="D21" s="226">
        <v>45868.97</v>
      </c>
      <c r="E21" s="227">
        <f t="shared" si="0"/>
        <v>733903.52</v>
      </c>
      <c r="F21" s="216"/>
      <c r="G21" s="226">
        <f t="shared" si="1"/>
        <v>2434.4500000000044</v>
      </c>
      <c r="H21" s="228">
        <f t="shared" si="2"/>
        <v>5.6048737271644868E-2</v>
      </c>
      <c r="I21" s="229"/>
      <c r="J21" s="230">
        <f t="shared" si="3"/>
        <v>3.1219146660306195E-2</v>
      </c>
      <c r="K21" s="230">
        <f t="shared" si="4"/>
        <v>3.1219146660306195E-2</v>
      </c>
      <c r="L21">
        <f>K21*Calculations!Y21</f>
        <v>12.575337121154595</v>
      </c>
    </row>
    <row r="22" spans="1:12">
      <c r="A22" s="223">
        <v>83</v>
      </c>
      <c r="B22" s="224" t="s">
        <v>635</v>
      </c>
      <c r="C22" s="225">
        <v>63</v>
      </c>
      <c r="D22" s="226">
        <v>44753.06</v>
      </c>
      <c r="E22" s="227">
        <f t="shared" si="0"/>
        <v>2819442.78</v>
      </c>
      <c r="F22" s="216"/>
      <c r="G22" s="226">
        <f t="shared" si="1"/>
        <v>1318.5400000000009</v>
      </c>
      <c r="H22" s="228">
        <f t="shared" si="2"/>
        <v>3.035696031635669E-2</v>
      </c>
      <c r="I22" s="229"/>
      <c r="J22" s="230">
        <f t="shared" si="3"/>
        <v>1.6908826896210677E-2</v>
      </c>
      <c r="K22" s="230">
        <f t="shared" si="4"/>
        <v>1.6908826896210677E-2</v>
      </c>
      <c r="L22">
        <f>K22*Calculations!Y22</f>
        <v>20.560815315795551</v>
      </c>
    </row>
    <row r="23" spans="1:12">
      <c r="A23" s="223">
        <v>84</v>
      </c>
      <c r="B23" s="224" t="s">
        <v>636</v>
      </c>
      <c r="C23" s="225">
        <v>194.14</v>
      </c>
      <c r="D23" s="226">
        <v>44783.44</v>
      </c>
      <c r="E23" s="227">
        <f t="shared" si="0"/>
        <v>8694257.0399999991</v>
      </c>
      <c r="F23" s="216"/>
      <c r="G23" s="226">
        <f t="shared" si="1"/>
        <v>1348.9200000000055</v>
      </c>
      <c r="H23" s="228">
        <f t="shared" si="2"/>
        <v>3.1056403984664863E-2</v>
      </c>
      <c r="I23" s="229"/>
      <c r="J23" s="230">
        <f t="shared" si="3"/>
        <v>1.7298417019458331E-2</v>
      </c>
      <c r="K23" s="230">
        <f t="shared" si="4"/>
        <v>1.7298417019458331E-2</v>
      </c>
      <c r="L23">
        <f>K23*Calculations!Y23</f>
        <v>72.556769190530915</v>
      </c>
    </row>
    <row r="24" spans="1:12">
      <c r="A24" s="223">
        <v>91</v>
      </c>
      <c r="B24" s="224" t="s">
        <v>637</v>
      </c>
      <c r="C24" s="225">
        <v>496.78</v>
      </c>
      <c r="D24" s="226">
        <v>43096.31</v>
      </c>
      <c r="E24" s="227">
        <f t="shared" si="0"/>
        <v>21409384.879999999</v>
      </c>
      <c r="F24" s="216"/>
      <c r="G24" s="226">
        <f t="shared" si="1"/>
        <v>-338.20999999999913</v>
      </c>
      <c r="H24" s="228">
        <f t="shared" si="2"/>
        <v>-7.7866636951438428E-3</v>
      </c>
      <c r="I24" s="229"/>
      <c r="J24" s="230">
        <f t="shared" si="3"/>
        <v>0</v>
      </c>
      <c r="K24" s="230">
        <f t="shared" si="4"/>
        <v>0</v>
      </c>
      <c r="L24">
        <f>K24*Calculations!Y24</f>
        <v>0</v>
      </c>
    </row>
    <row r="25" spans="1:12">
      <c r="A25" s="223">
        <v>92</v>
      </c>
      <c r="B25" s="231" t="s">
        <v>638</v>
      </c>
      <c r="C25" s="225">
        <v>4</v>
      </c>
      <c r="D25" s="226">
        <v>36149.75</v>
      </c>
      <c r="E25" s="227">
        <f t="shared" si="0"/>
        <v>144599</v>
      </c>
      <c r="F25" s="216"/>
      <c r="G25" s="226">
        <f t="shared" si="1"/>
        <v>-7284.7699999999968</v>
      </c>
      <c r="H25" s="228">
        <f t="shared" si="2"/>
        <v>-0.16771844146084722</v>
      </c>
      <c r="I25" s="229"/>
      <c r="J25" s="230">
        <f t="shared" si="3"/>
        <v>0</v>
      </c>
      <c r="K25" s="230">
        <f t="shared" si="4"/>
        <v>0</v>
      </c>
      <c r="L25">
        <f>K25*Calculations!Y25</f>
        <v>0</v>
      </c>
    </row>
    <row r="26" spans="1:12">
      <c r="A26" s="223">
        <v>93</v>
      </c>
      <c r="B26" s="224" t="s">
        <v>639</v>
      </c>
      <c r="C26" s="225">
        <v>607.23</v>
      </c>
      <c r="D26" s="226">
        <v>41887.519999999997</v>
      </c>
      <c r="E26" s="227">
        <f t="shared" si="0"/>
        <v>25435358.77</v>
      </c>
      <c r="F26" s="216"/>
      <c r="G26" s="226">
        <f t="shared" si="1"/>
        <v>-1547</v>
      </c>
      <c r="H26" s="228">
        <f t="shared" si="2"/>
        <v>-3.5616831957622649E-2</v>
      </c>
      <c r="I26" s="229"/>
      <c r="J26" s="230">
        <f t="shared" si="3"/>
        <v>0</v>
      </c>
      <c r="K26" s="230">
        <f t="shared" si="4"/>
        <v>0</v>
      </c>
      <c r="L26">
        <f>K26*Calculations!Y26</f>
        <v>0</v>
      </c>
    </row>
    <row r="27" spans="1:12">
      <c r="A27" s="223">
        <v>101</v>
      </c>
      <c r="B27" s="224" t="s">
        <v>640</v>
      </c>
      <c r="C27" s="225">
        <v>77.84</v>
      </c>
      <c r="D27" s="226">
        <v>42786.2</v>
      </c>
      <c r="E27" s="227">
        <f t="shared" si="0"/>
        <v>3330477.81</v>
      </c>
      <c r="F27" s="216"/>
      <c r="G27" s="226">
        <f t="shared" si="1"/>
        <v>-648.31999999999971</v>
      </c>
      <c r="H27" s="228">
        <f t="shared" si="2"/>
        <v>-1.4926376531846093E-2</v>
      </c>
      <c r="I27" s="229"/>
      <c r="J27" s="230">
        <f t="shared" si="3"/>
        <v>0</v>
      </c>
      <c r="K27" s="230">
        <f t="shared" si="4"/>
        <v>0</v>
      </c>
      <c r="L27">
        <f>K27*Calculations!Y27</f>
        <v>0</v>
      </c>
    </row>
    <row r="28" spans="1:12">
      <c r="A28" s="223">
        <v>111</v>
      </c>
      <c r="B28" s="224" t="s">
        <v>641</v>
      </c>
      <c r="C28" s="225">
        <v>28.38</v>
      </c>
      <c r="D28" s="226">
        <v>44224.68</v>
      </c>
      <c r="E28" s="227">
        <f t="shared" si="0"/>
        <v>1255096.42</v>
      </c>
      <c r="F28" s="216"/>
      <c r="G28" s="226">
        <f t="shared" si="1"/>
        <v>790.16000000000349</v>
      </c>
      <c r="H28" s="228">
        <f t="shared" si="2"/>
        <v>1.8191981861431956E-2</v>
      </c>
      <c r="I28" s="229"/>
      <c r="J28" s="230">
        <f t="shared" si="3"/>
        <v>1.0132933896817601E-2</v>
      </c>
      <c r="K28" s="230">
        <f t="shared" si="4"/>
        <v>1.0132933896817601E-2</v>
      </c>
      <c r="L28">
        <f>K28*Calculations!Y28</f>
        <v>6.612214973180107</v>
      </c>
    </row>
    <row r="29" spans="1:12">
      <c r="A29" s="223">
        <v>121</v>
      </c>
      <c r="B29" s="232" t="s">
        <v>642</v>
      </c>
      <c r="C29" s="225">
        <v>15.09</v>
      </c>
      <c r="D29" s="226">
        <v>42845.87</v>
      </c>
      <c r="E29" s="227">
        <f t="shared" si="0"/>
        <v>646544.18000000005</v>
      </c>
      <c r="F29" s="216"/>
      <c r="G29" s="226">
        <f t="shared" si="1"/>
        <v>-588.64999999999418</v>
      </c>
      <c r="H29" s="228">
        <f t="shared" si="2"/>
        <v>-1.3552584442051948E-2</v>
      </c>
      <c r="I29" s="229"/>
      <c r="J29" s="230">
        <f t="shared" si="3"/>
        <v>0</v>
      </c>
      <c r="K29" s="230">
        <f t="shared" si="4"/>
        <v>0</v>
      </c>
      <c r="L29">
        <f>K29*Calculations!Y29</f>
        <v>0</v>
      </c>
    </row>
    <row r="30" spans="1:12">
      <c r="A30" s="223">
        <v>131</v>
      </c>
      <c r="B30" s="224" t="s">
        <v>643</v>
      </c>
      <c r="C30" s="225">
        <v>733.93</v>
      </c>
      <c r="D30" s="226">
        <v>42849.69</v>
      </c>
      <c r="E30" s="227">
        <f t="shared" si="0"/>
        <v>31448672.98</v>
      </c>
      <c r="F30" s="216"/>
      <c r="G30" s="226">
        <f t="shared" si="1"/>
        <v>-584.82999999999447</v>
      </c>
      <c r="H30" s="228">
        <f t="shared" si="2"/>
        <v>-1.346463596236345E-2</v>
      </c>
      <c r="I30" s="229"/>
      <c r="J30" s="230">
        <f t="shared" si="3"/>
        <v>0</v>
      </c>
      <c r="K30" s="230">
        <f t="shared" si="4"/>
        <v>0</v>
      </c>
      <c r="L30">
        <f>K30*Calculations!Y30</f>
        <v>0</v>
      </c>
    </row>
    <row r="31" spans="1:12">
      <c r="A31" s="223">
        <v>132</v>
      </c>
      <c r="B31" s="224" t="s">
        <v>644</v>
      </c>
      <c r="C31" s="225">
        <v>304.55</v>
      </c>
      <c r="D31" s="226">
        <v>41883.26</v>
      </c>
      <c r="E31" s="227">
        <f t="shared" si="0"/>
        <v>12755546.83</v>
      </c>
      <c r="F31" s="216"/>
      <c r="G31" s="226">
        <f t="shared" si="1"/>
        <v>-1551.2599999999948</v>
      </c>
      <c r="H31" s="228">
        <f t="shared" si="2"/>
        <v>-3.571491062868877E-2</v>
      </c>
      <c r="I31" s="229"/>
      <c r="J31" s="230">
        <f t="shared" si="3"/>
        <v>0</v>
      </c>
      <c r="K31" s="230">
        <f t="shared" si="4"/>
        <v>0</v>
      </c>
      <c r="L31">
        <f>K31*Calculations!Y31</f>
        <v>0</v>
      </c>
    </row>
    <row r="32" spans="1:12">
      <c r="A32" s="223">
        <v>133</v>
      </c>
      <c r="B32" s="232" t="s">
        <v>645</v>
      </c>
      <c r="C32" s="225">
        <v>30.04</v>
      </c>
      <c r="D32" s="226">
        <v>42471.58</v>
      </c>
      <c r="E32" s="227">
        <f t="shared" si="0"/>
        <v>1275846.26</v>
      </c>
      <c r="F32" s="216"/>
      <c r="G32" s="226">
        <f t="shared" si="1"/>
        <v>-962.93999999999505</v>
      </c>
      <c r="H32" s="228">
        <f t="shared" si="2"/>
        <v>-2.2169923830169993E-2</v>
      </c>
      <c r="I32" s="229"/>
      <c r="J32" s="230">
        <f t="shared" si="3"/>
        <v>0</v>
      </c>
      <c r="K32" s="230">
        <f t="shared" si="4"/>
        <v>0</v>
      </c>
      <c r="L32">
        <f>K32*Calculations!Y32</f>
        <v>0</v>
      </c>
    </row>
    <row r="33" spans="1:12">
      <c r="A33" s="223">
        <v>134</v>
      </c>
      <c r="B33" s="232" t="s">
        <v>646</v>
      </c>
      <c r="C33" s="225">
        <v>191.18</v>
      </c>
      <c r="D33" s="226">
        <v>42799.26</v>
      </c>
      <c r="E33" s="227">
        <f t="shared" si="0"/>
        <v>8182362.5300000003</v>
      </c>
      <c r="F33" s="216"/>
      <c r="G33" s="226">
        <f t="shared" si="1"/>
        <v>-635.25999999999476</v>
      </c>
      <c r="H33" s="228">
        <f t="shared" si="2"/>
        <v>-1.4625694033225067E-2</v>
      </c>
      <c r="I33" s="229"/>
      <c r="J33" s="230">
        <f t="shared" si="3"/>
        <v>0</v>
      </c>
      <c r="K33" s="230">
        <f t="shared" si="4"/>
        <v>0</v>
      </c>
      <c r="L33">
        <f>K33*Calculations!Y33</f>
        <v>0</v>
      </c>
    </row>
    <row r="34" spans="1:12">
      <c r="A34" s="223">
        <v>135</v>
      </c>
      <c r="B34" s="232" t="s">
        <v>647</v>
      </c>
      <c r="C34" s="225">
        <v>29.14</v>
      </c>
      <c r="D34" s="226">
        <v>42617.279999999999</v>
      </c>
      <c r="E34" s="227">
        <f t="shared" si="0"/>
        <v>1241867.54</v>
      </c>
      <c r="F34" s="216"/>
      <c r="G34" s="226">
        <f t="shared" si="1"/>
        <v>-817.23999999999796</v>
      </c>
      <c r="H34" s="228">
        <f t="shared" si="2"/>
        <v>-1.881544909440689E-2</v>
      </c>
      <c r="I34" s="229"/>
      <c r="J34" s="230">
        <f t="shared" si="3"/>
        <v>0</v>
      </c>
      <c r="K34" s="230">
        <f t="shared" si="4"/>
        <v>0</v>
      </c>
      <c r="L34">
        <f>K34*Calculations!Y34</f>
        <v>0</v>
      </c>
    </row>
    <row r="35" spans="1:12">
      <c r="A35" s="223">
        <v>136</v>
      </c>
      <c r="B35" s="231" t="s">
        <v>648</v>
      </c>
      <c r="C35" s="225">
        <v>44.75</v>
      </c>
      <c r="D35" s="226">
        <v>42538.51</v>
      </c>
      <c r="E35" s="227">
        <f t="shared" si="0"/>
        <v>1903598.32</v>
      </c>
      <c r="F35" s="216"/>
      <c r="G35" s="226">
        <f t="shared" si="1"/>
        <v>-896.00999999999476</v>
      </c>
      <c r="H35" s="228">
        <f t="shared" si="2"/>
        <v>-2.0628983582643364E-2</v>
      </c>
      <c r="I35" s="229"/>
      <c r="J35" s="230">
        <f t="shared" si="3"/>
        <v>0</v>
      </c>
      <c r="K35" s="230">
        <f t="shared" si="4"/>
        <v>0</v>
      </c>
      <c r="L35">
        <f>K35*Calculations!Y35</f>
        <v>0</v>
      </c>
    </row>
    <row r="36" spans="1:12">
      <c r="A36" s="223">
        <v>137</v>
      </c>
      <c r="B36" s="234" t="s">
        <v>649</v>
      </c>
      <c r="C36" s="225">
        <v>58.41</v>
      </c>
      <c r="D36" s="226">
        <v>42932.46</v>
      </c>
      <c r="E36" s="227">
        <f t="shared" si="0"/>
        <v>2507684.9900000002</v>
      </c>
      <c r="F36" s="216"/>
      <c r="G36" s="226">
        <f t="shared" si="1"/>
        <v>-502.05999999999767</v>
      </c>
      <c r="H36" s="228">
        <f t="shared" si="2"/>
        <v>-1.1559008825238489E-2</v>
      </c>
      <c r="I36" s="229"/>
      <c r="J36" s="230">
        <f t="shared" si="3"/>
        <v>0</v>
      </c>
      <c r="K36" s="230">
        <f t="shared" si="4"/>
        <v>0</v>
      </c>
      <c r="L36">
        <f>K36*Calculations!Y36</f>
        <v>0</v>
      </c>
    </row>
    <row r="37" spans="1:12">
      <c r="A37" s="223">
        <v>139</v>
      </c>
      <c r="B37" s="234" t="s">
        <v>650</v>
      </c>
      <c r="C37" s="225">
        <v>419.99</v>
      </c>
      <c r="D37" s="226">
        <v>42915.81</v>
      </c>
      <c r="E37" s="227">
        <f t="shared" si="0"/>
        <v>18024211.039999999</v>
      </c>
      <c r="F37" s="216"/>
      <c r="G37" s="226">
        <f t="shared" si="1"/>
        <v>-518.70999999999913</v>
      </c>
      <c r="H37" s="228">
        <f t="shared" si="2"/>
        <v>-1.1942344476236854E-2</v>
      </c>
      <c r="I37" s="229"/>
      <c r="J37" s="230">
        <f t="shared" si="3"/>
        <v>0</v>
      </c>
      <c r="K37" s="230">
        <f t="shared" si="4"/>
        <v>0</v>
      </c>
      <c r="L37">
        <f>K37*Calculations!Y37</f>
        <v>0</v>
      </c>
    </row>
    <row r="38" spans="1:12">
      <c r="A38" s="223">
        <v>148</v>
      </c>
      <c r="B38" s="231" t="s">
        <v>651</v>
      </c>
      <c r="C38" s="225">
        <v>33.609090909090902</v>
      </c>
      <c r="D38" s="226">
        <v>43960.86</v>
      </c>
      <c r="E38" s="227">
        <f t="shared" si="0"/>
        <v>1477484.54</v>
      </c>
      <c r="F38" s="216"/>
      <c r="G38" s="226">
        <f t="shared" si="1"/>
        <v>526.34000000000378</v>
      </c>
      <c r="H38" s="228">
        <f t="shared" si="2"/>
        <v>1.2118011203991752E-2</v>
      </c>
      <c r="I38" s="229"/>
      <c r="J38" s="230">
        <f t="shared" si="3"/>
        <v>6.7497322406234062E-3</v>
      </c>
      <c r="K38" s="230">
        <f t="shared" si="4"/>
        <v>6.7497322406234062E-3</v>
      </c>
      <c r="L38">
        <f>K38*Calculations!Y38</f>
        <v>5.3653070042723892</v>
      </c>
    </row>
    <row r="39" spans="1:12">
      <c r="A39" s="223">
        <v>149</v>
      </c>
      <c r="B39" s="232" t="s">
        <v>652</v>
      </c>
      <c r="C39" s="225">
        <v>16.2225</v>
      </c>
      <c r="D39" s="226">
        <v>43471.1</v>
      </c>
      <c r="E39" s="227">
        <f t="shared" si="0"/>
        <v>705209.92</v>
      </c>
      <c r="F39" s="216"/>
      <c r="G39" s="226">
        <f t="shared" si="1"/>
        <v>36.580000000001746</v>
      </c>
      <c r="H39" s="228">
        <f t="shared" si="2"/>
        <v>8.4218727408526099E-4</v>
      </c>
      <c r="I39" s="229"/>
      <c r="J39" s="230">
        <f t="shared" si="3"/>
        <v>4.6909831166549044E-4</v>
      </c>
      <c r="K39" s="230">
        <f t="shared" si="4"/>
        <v>4.6909831166549044E-4</v>
      </c>
      <c r="L39">
        <f>K39*Calculations!Y39</f>
        <v>0.15740278566813207</v>
      </c>
    </row>
    <row r="40" spans="1:12">
      <c r="A40" s="223">
        <v>150</v>
      </c>
      <c r="B40" s="232" t="s">
        <v>653</v>
      </c>
      <c r="C40" s="225">
        <v>43.42</v>
      </c>
      <c r="D40" s="226">
        <v>43197.89</v>
      </c>
      <c r="E40" s="227">
        <f t="shared" si="0"/>
        <v>1875652.38</v>
      </c>
      <c r="F40" s="216"/>
      <c r="G40" s="226">
        <f t="shared" si="1"/>
        <v>-236.62999999999738</v>
      </c>
      <c r="H40" s="228">
        <f t="shared" si="2"/>
        <v>-5.4479708766206553E-3</v>
      </c>
      <c r="I40" s="229"/>
      <c r="J40" s="230">
        <f t="shared" si="3"/>
        <v>0</v>
      </c>
      <c r="K40" s="230">
        <f t="shared" si="4"/>
        <v>0</v>
      </c>
      <c r="L40">
        <f>K40*Calculations!Y40</f>
        <v>0</v>
      </c>
    </row>
    <row r="41" spans="1:12">
      <c r="A41" s="223">
        <v>151</v>
      </c>
      <c r="B41" s="224" t="s">
        <v>654</v>
      </c>
      <c r="C41" s="225">
        <v>291.45</v>
      </c>
      <c r="D41" s="226">
        <v>42915.75</v>
      </c>
      <c r="E41" s="227">
        <f t="shared" si="0"/>
        <v>12507795.34</v>
      </c>
      <c r="F41" s="216"/>
      <c r="G41" s="226">
        <f t="shared" si="1"/>
        <v>-518.7699999999968</v>
      </c>
      <c r="H41" s="228">
        <f t="shared" si="2"/>
        <v>-1.1943725865970128E-2</v>
      </c>
      <c r="I41" s="229"/>
      <c r="J41" s="230">
        <f t="shared" si="3"/>
        <v>0</v>
      </c>
      <c r="K41" s="230">
        <f t="shared" si="4"/>
        <v>0</v>
      </c>
      <c r="L41">
        <f>K41*Calculations!Y41</f>
        <v>0</v>
      </c>
    </row>
    <row r="42" spans="1:12">
      <c r="A42" s="223">
        <v>161</v>
      </c>
      <c r="B42" s="232" t="s">
        <v>655</v>
      </c>
      <c r="C42" s="225">
        <v>15.21</v>
      </c>
      <c r="D42" s="226">
        <v>43503.83</v>
      </c>
      <c r="E42" s="227">
        <f t="shared" si="0"/>
        <v>661693.25</v>
      </c>
      <c r="F42" s="216"/>
      <c r="G42" s="226">
        <f t="shared" si="1"/>
        <v>69.310000000004948</v>
      </c>
      <c r="H42" s="228">
        <f t="shared" si="2"/>
        <v>1.5957353736153858E-3</v>
      </c>
      <c r="I42" s="229"/>
      <c r="J42" s="230">
        <f t="shared" si="3"/>
        <v>8.8882460310377002E-4</v>
      </c>
      <c r="K42" s="230">
        <f t="shared" si="4"/>
        <v>8.8882460310377002E-4</v>
      </c>
      <c r="L42">
        <f>K42*Calculations!Y42</f>
        <v>0.26959052717128557</v>
      </c>
    </row>
    <row r="43" spans="1:12">
      <c r="A43" s="223">
        <v>171</v>
      </c>
      <c r="B43" s="224" t="s">
        <v>656</v>
      </c>
      <c r="C43" s="225">
        <v>72.45</v>
      </c>
      <c r="D43" s="226">
        <v>45150.05</v>
      </c>
      <c r="E43" s="227">
        <f t="shared" si="0"/>
        <v>3271121.12</v>
      </c>
      <c r="F43" s="216"/>
      <c r="G43" s="226">
        <f t="shared" si="1"/>
        <v>1715.5300000000061</v>
      </c>
      <c r="H43" s="228">
        <f t="shared" si="2"/>
        <v>3.9496925486917002E-2</v>
      </c>
      <c r="I43" s="229"/>
      <c r="J43" s="230">
        <f t="shared" si="3"/>
        <v>2.1999787496212772E-2</v>
      </c>
      <c r="K43" s="230">
        <f t="shared" si="4"/>
        <v>2.1999787496212772E-2</v>
      </c>
      <c r="L43">
        <f>K43*Calculations!Y43</f>
        <v>30.70409423959061</v>
      </c>
    </row>
    <row r="44" spans="1:12">
      <c r="A44" s="223">
        <v>181</v>
      </c>
      <c r="B44" s="232" t="s">
        <v>657</v>
      </c>
      <c r="C44" s="225">
        <v>24.18</v>
      </c>
      <c r="D44" s="226">
        <v>43338.26</v>
      </c>
      <c r="E44" s="227">
        <f t="shared" si="0"/>
        <v>1047919.13</v>
      </c>
      <c r="F44" s="216"/>
      <c r="G44" s="226">
        <f t="shared" si="1"/>
        <v>-96.259999999994761</v>
      </c>
      <c r="H44" s="228">
        <f t="shared" si="2"/>
        <v>-2.2162095955013377E-3</v>
      </c>
      <c r="I44" s="229"/>
      <c r="J44" s="230">
        <f t="shared" si="3"/>
        <v>0</v>
      </c>
      <c r="K44" s="230">
        <f t="shared" si="4"/>
        <v>0</v>
      </c>
      <c r="L44">
        <f>K44*Calculations!Y44</f>
        <v>0</v>
      </c>
    </row>
    <row r="45" spans="1:12">
      <c r="A45" s="223">
        <v>182</v>
      </c>
      <c r="B45" s="232" t="s">
        <v>658</v>
      </c>
      <c r="C45" s="225">
        <v>16.43</v>
      </c>
      <c r="D45" s="226">
        <v>44744.53</v>
      </c>
      <c r="E45" s="227">
        <f t="shared" si="0"/>
        <v>735152.63</v>
      </c>
      <c r="F45" s="216"/>
      <c r="G45" s="226">
        <f t="shared" si="1"/>
        <v>1310.010000000002</v>
      </c>
      <c r="H45" s="228">
        <f t="shared" si="2"/>
        <v>3.0160572742602015E-2</v>
      </c>
      <c r="I45" s="229"/>
      <c r="J45" s="230">
        <f t="shared" si="3"/>
        <v>1.6799439017629324E-2</v>
      </c>
      <c r="K45" s="230">
        <f t="shared" si="4"/>
        <v>1.6799439017629324E-2</v>
      </c>
      <c r="L45">
        <f>K45*Calculations!Y45</f>
        <v>6.4150315069638344</v>
      </c>
    </row>
    <row r="46" spans="1:12">
      <c r="A46" s="223">
        <v>191</v>
      </c>
      <c r="B46" s="232" t="s">
        <v>659</v>
      </c>
      <c r="C46" s="225">
        <v>0.87999999999999901</v>
      </c>
      <c r="D46" s="226">
        <v>38999</v>
      </c>
      <c r="E46" s="227">
        <f t="shared" si="0"/>
        <v>34319.120000000003</v>
      </c>
      <c r="F46" s="216"/>
      <c r="G46" s="226">
        <f t="shared" si="1"/>
        <v>-4435.5199999999968</v>
      </c>
      <c r="H46" s="228">
        <f t="shared" si="2"/>
        <v>-0.10211969649946626</v>
      </c>
      <c r="I46" s="229"/>
      <c r="J46" s="230">
        <f t="shared" si="3"/>
        <v>0</v>
      </c>
      <c r="K46" s="230">
        <f t="shared" si="4"/>
        <v>0</v>
      </c>
      <c r="L46">
        <f>K46*Calculations!Y46</f>
        <v>0</v>
      </c>
    </row>
    <row r="47" spans="1:12">
      <c r="A47" s="223">
        <v>192</v>
      </c>
      <c r="B47" s="232" t="s">
        <v>660</v>
      </c>
      <c r="C47" s="225">
        <v>26.772608695652199</v>
      </c>
      <c r="D47" s="226">
        <v>44382.49</v>
      </c>
      <c r="E47" s="227">
        <f t="shared" si="0"/>
        <v>1188235.04</v>
      </c>
      <c r="F47" s="216"/>
      <c r="G47" s="226">
        <f t="shared" si="1"/>
        <v>947.97000000000116</v>
      </c>
      <c r="H47" s="228">
        <f t="shared" si="2"/>
        <v>2.1825267091704969E-2</v>
      </c>
      <c r="I47" s="229"/>
      <c r="J47" s="230">
        <f t="shared" si="3"/>
        <v>1.2156673770079668E-2</v>
      </c>
      <c r="K47" s="230">
        <f t="shared" si="4"/>
        <v>1.2156673770079668E-2</v>
      </c>
      <c r="L47">
        <f>K47*Calculations!Y47</f>
        <v>7.5316050646802202</v>
      </c>
    </row>
    <row r="48" spans="1:12">
      <c r="A48" s="223">
        <v>193</v>
      </c>
      <c r="B48" s="224" t="s">
        <v>661</v>
      </c>
      <c r="C48" s="225">
        <v>185.01</v>
      </c>
      <c r="D48" s="226">
        <v>43793.55</v>
      </c>
      <c r="E48" s="227">
        <f t="shared" si="0"/>
        <v>8102244.6900000004</v>
      </c>
      <c r="F48" s="216"/>
      <c r="G48" s="226">
        <f t="shared" si="1"/>
        <v>359.03000000000611</v>
      </c>
      <c r="H48" s="228">
        <f t="shared" si="2"/>
        <v>8.2660059326085823E-3</v>
      </c>
      <c r="I48" s="229"/>
      <c r="J48" s="230">
        <f t="shared" si="3"/>
        <v>4.6041653044629803E-3</v>
      </c>
      <c r="K48" s="230">
        <f t="shared" si="4"/>
        <v>4.6041653044629803E-3</v>
      </c>
      <c r="L48">
        <f>K48*Calculations!Y48</f>
        <v>19.414781665815056</v>
      </c>
    </row>
    <row r="49" spans="1:12">
      <c r="A49" s="223">
        <v>201</v>
      </c>
      <c r="B49" s="232" t="s">
        <v>662</v>
      </c>
      <c r="C49" s="225">
        <v>118.59</v>
      </c>
      <c r="D49" s="226">
        <v>43508.89</v>
      </c>
      <c r="E49" s="227">
        <f t="shared" si="0"/>
        <v>5159719.2699999996</v>
      </c>
      <c r="F49" s="216"/>
      <c r="G49" s="226">
        <f t="shared" si="1"/>
        <v>74.370000000002619</v>
      </c>
      <c r="H49" s="228">
        <f t="shared" si="2"/>
        <v>1.7122325744592694E-3</v>
      </c>
      <c r="I49" s="229"/>
      <c r="J49" s="230">
        <f t="shared" si="3"/>
        <v>9.5371354397381317E-4</v>
      </c>
      <c r="K49" s="230">
        <f t="shared" si="4"/>
        <v>9.5371354397381317E-4</v>
      </c>
      <c r="L49">
        <f>K49*Calculations!Y49</f>
        <v>2.4022202972602917</v>
      </c>
    </row>
    <row r="50" spans="1:12">
      <c r="A50" s="223">
        <v>202</v>
      </c>
      <c r="B50" s="232" t="s">
        <v>663</v>
      </c>
      <c r="C50" s="225">
        <v>38.08</v>
      </c>
      <c r="D50" s="226">
        <v>43028.54</v>
      </c>
      <c r="E50" s="227">
        <f t="shared" si="0"/>
        <v>1638526.8</v>
      </c>
      <c r="F50" s="216"/>
      <c r="G50" s="226">
        <f t="shared" si="1"/>
        <v>-405.97999999999593</v>
      </c>
      <c r="H50" s="228">
        <f t="shared" si="2"/>
        <v>-9.3469433989369737E-3</v>
      </c>
      <c r="I50" s="229"/>
      <c r="J50" s="230">
        <f t="shared" si="3"/>
        <v>0</v>
      </c>
      <c r="K50" s="230">
        <f t="shared" si="4"/>
        <v>0</v>
      </c>
      <c r="L50">
        <f>K50*Calculations!Y50</f>
        <v>0</v>
      </c>
    </row>
    <row r="51" spans="1:12">
      <c r="A51" s="223">
        <v>215</v>
      </c>
      <c r="B51" s="224" t="s">
        <v>664</v>
      </c>
      <c r="C51" s="225">
        <v>125.05</v>
      </c>
      <c r="D51" s="226">
        <v>43748.1</v>
      </c>
      <c r="E51" s="227">
        <f t="shared" si="0"/>
        <v>5470699.9100000001</v>
      </c>
      <c r="F51" s="216"/>
      <c r="G51" s="226">
        <f t="shared" si="1"/>
        <v>313.58000000000175</v>
      </c>
      <c r="H51" s="228">
        <f t="shared" si="2"/>
        <v>7.2196032096130394E-3</v>
      </c>
      <c r="I51" s="229"/>
      <c r="J51" s="230">
        <f t="shared" si="3"/>
        <v>4.0213189877544636E-3</v>
      </c>
      <c r="K51" s="230">
        <f t="shared" si="4"/>
        <v>4.0213189877544636E-3</v>
      </c>
      <c r="L51">
        <f>K51*Calculations!Y51</f>
        <v>9.7178062098968869</v>
      </c>
    </row>
    <row r="52" spans="1:12">
      <c r="A52" s="223">
        <v>221</v>
      </c>
      <c r="B52" s="224" t="s">
        <v>665</v>
      </c>
      <c r="C52" s="225">
        <v>122.85</v>
      </c>
      <c r="D52" s="226">
        <v>42285.53</v>
      </c>
      <c r="E52" s="227">
        <f t="shared" si="0"/>
        <v>5194777.3600000003</v>
      </c>
      <c r="F52" s="216"/>
      <c r="G52" s="226">
        <f t="shared" si="1"/>
        <v>-1148.989999999998</v>
      </c>
      <c r="H52" s="228">
        <f t="shared" si="2"/>
        <v>-2.6453383161595848E-2</v>
      </c>
      <c r="I52" s="229"/>
      <c r="J52" s="230">
        <f t="shared" si="3"/>
        <v>0</v>
      </c>
      <c r="K52" s="230">
        <f t="shared" si="4"/>
        <v>0</v>
      </c>
      <c r="L52">
        <f>K52*Calculations!Y52</f>
        <v>0</v>
      </c>
    </row>
    <row r="53" spans="1:12">
      <c r="A53" s="223">
        <v>231</v>
      </c>
      <c r="B53" s="224" t="s">
        <v>666</v>
      </c>
      <c r="C53" s="225">
        <v>68.9951748251748</v>
      </c>
      <c r="D53" s="226">
        <v>41905.230000000003</v>
      </c>
      <c r="E53" s="227">
        <f t="shared" si="0"/>
        <v>2891258.67</v>
      </c>
      <c r="F53" s="216"/>
      <c r="G53" s="226">
        <f t="shared" si="1"/>
        <v>-1529.2899999999936</v>
      </c>
      <c r="H53" s="228">
        <f t="shared" si="2"/>
        <v>-3.5209091754668721E-2</v>
      </c>
      <c r="I53" s="229"/>
      <c r="J53" s="230">
        <f t="shared" si="3"/>
        <v>0</v>
      </c>
      <c r="K53" s="230">
        <f t="shared" si="4"/>
        <v>0</v>
      </c>
      <c r="L53">
        <f>K53*Calculations!Y53</f>
        <v>0</v>
      </c>
    </row>
    <row r="54" spans="1:12">
      <c r="A54" s="223">
        <v>232</v>
      </c>
      <c r="B54" s="234" t="s">
        <v>667</v>
      </c>
      <c r="C54" s="225">
        <v>64.5</v>
      </c>
      <c r="D54" s="226">
        <v>43548.99</v>
      </c>
      <c r="E54" s="227">
        <f t="shared" si="0"/>
        <v>2808909.86</v>
      </c>
      <c r="F54" s="216"/>
      <c r="G54" s="226">
        <f t="shared" si="1"/>
        <v>114.47000000000116</v>
      </c>
      <c r="H54" s="228">
        <f t="shared" si="2"/>
        <v>2.6354613795663258E-3</v>
      </c>
      <c r="I54" s="229"/>
      <c r="J54" s="230">
        <f t="shared" si="3"/>
        <v>1.4679519884184436E-3</v>
      </c>
      <c r="K54" s="230">
        <f t="shared" si="4"/>
        <v>1.4679519884184436E-3</v>
      </c>
      <c r="L54">
        <f>K54*Calculations!Y54</f>
        <v>1.9440196507358387</v>
      </c>
    </row>
    <row r="55" spans="1:12">
      <c r="A55" s="223">
        <v>233</v>
      </c>
      <c r="B55" s="232" t="s">
        <v>668</v>
      </c>
      <c r="C55" s="225">
        <v>22.45</v>
      </c>
      <c r="D55" s="226">
        <v>45644.98</v>
      </c>
      <c r="E55" s="227">
        <f t="shared" si="0"/>
        <v>1024729.8</v>
      </c>
      <c r="F55" s="216"/>
      <c r="G55" s="226">
        <f t="shared" si="1"/>
        <v>2210.4600000000064</v>
      </c>
      <c r="H55" s="228">
        <f t="shared" si="2"/>
        <v>5.0891779165511825E-2</v>
      </c>
      <c r="I55" s="229"/>
      <c r="J55" s="230">
        <f t="shared" si="3"/>
        <v>2.8346720995190089E-2</v>
      </c>
      <c r="K55" s="230">
        <f t="shared" si="4"/>
        <v>2.8346720995190089E-2</v>
      </c>
      <c r="L55">
        <f>K55*Calculations!Y55</f>
        <v>12.991233553500042</v>
      </c>
    </row>
    <row r="56" spans="1:12">
      <c r="A56" s="223">
        <v>234</v>
      </c>
      <c r="B56" s="232" t="s">
        <v>669</v>
      </c>
      <c r="C56" s="225">
        <v>13.79</v>
      </c>
      <c r="D56" s="226">
        <v>44121.59</v>
      </c>
      <c r="E56" s="227">
        <f t="shared" si="0"/>
        <v>608436.73</v>
      </c>
      <c r="F56" s="216"/>
      <c r="G56" s="226">
        <f t="shared" si="1"/>
        <v>687.06999999999971</v>
      </c>
      <c r="H56" s="228">
        <f t="shared" si="2"/>
        <v>1.5818524067953317E-2</v>
      </c>
      <c r="I56" s="229"/>
      <c r="J56" s="230">
        <f t="shared" si="3"/>
        <v>8.8109179058499989E-3</v>
      </c>
      <c r="K56" s="230">
        <f t="shared" si="4"/>
        <v>8.8109179058499989E-3</v>
      </c>
      <c r="L56">
        <f>K56*Calculations!Y56</f>
        <v>2.9540008573673022</v>
      </c>
    </row>
    <row r="57" spans="1:12">
      <c r="A57" s="223">
        <v>242</v>
      </c>
      <c r="B57" s="232" t="s">
        <v>670</v>
      </c>
      <c r="C57" s="225">
        <v>28.42</v>
      </c>
      <c r="D57" s="226">
        <v>46301.23</v>
      </c>
      <c r="E57" s="227">
        <f t="shared" si="0"/>
        <v>1315880.96</v>
      </c>
      <c r="F57" s="216"/>
      <c r="G57" s="226">
        <f t="shared" si="1"/>
        <v>2866.7100000000064</v>
      </c>
      <c r="H57" s="228">
        <f t="shared" si="2"/>
        <v>6.6000729373779349E-2</v>
      </c>
      <c r="I57" s="229"/>
      <c r="J57" s="230">
        <f t="shared" si="3"/>
        <v>3.6762406261195098E-2</v>
      </c>
      <c r="K57" s="230">
        <f t="shared" si="4"/>
        <v>3.6762406261195098E-2</v>
      </c>
      <c r="L57">
        <f>K57*Calculations!Y57</f>
        <v>21.260461813376441</v>
      </c>
    </row>
    <row r="58" spans="1:12">
      <c r="A58" s="223">
        <v>243</v>
      </c>
      <c r="B58" s="232" t="s">
        <v>671</v>
      </c>
      <c r="C58" s="233">
        <v>13.5</v>
      </c>
      <c r="D58" s="226">
        <v>40757.67</v>
      </c>
      <c r="E58" s="227">
        <f t="shared" si="0"/>
        <v>550228.55000000005</v>
      </c>
      <c r="F58" s="216"/>
      <c r="G58" s="226">
        <f t="shared" si="1"/>
        <v>-2676.8499999999985</v>
      </c>
      <c r="H58" s="228">
        <f t="shared" si="2"/>
        <v>-6.1629551794287099E-2</v>
      </c>
      <c r="I58" s="229"/>
      <c r="J58" s="230">
        <f t="shared" si="3"/>
        <v>0</v>
      </c>
      <c r="K58" s="230">
        <f t="shared" si="4"/>
        <v>0</v>
      </c>
      <c r="L58">
        <f>K58*Calculations!Y58</f>
        <v>0</v>
      </c>
    </row>
    <row r="59" spans="1:12">
      <c r="A59" s="223">
        <v>244</v>
      </c>
      <c r="B59" s="224" t="s">
        <v>672</v>
      </c>
      <c r="C59" s="225">
        <v>73.489999999999995</v>
      </c>
      <c r="D59" s="226">
        <v>43374.080000000002</v>
      </c>
      <c r="E59" s="227">
        <f t="shared" si="0"/>
        <v>3187561.14</v>
      </c>
      <c r="F59" s="216"/>
      <c r="G59" s="226">
        <f t="shared" si="1"/>
        <v>-60.439999999995052</v>
      </c>
      <c r="H59" s="228">
        <f t="shared" si="2"/>
        <v>-1.3915199247049365E-3</v>
      </c>
      <c r="I59" s="229"/>
      <c r="J59" s="230">
        <f t="shared" si="3"/>
        <v>0</v>
      </c>
      <c r="K59" s="230">
        <f t="shared" si="4"/>
        <v>0</v>
      </c>
      <c r="L59">
        <f>K59*Calculations!Y59</f>
        <v>0</v>
      </c>
    </row>
    <row r="60" spans="1:12">
      <c r="A60" s="223">
        <v>251</v>
      </c>
      <c r="B60" s="224" t="s">
        <v>673</v>
      </c>
      <c r="C60" s="225">
        <v>266.56</v>
      </c>
      <c r="D60" s="226">
        <v>41619.019999999997</v>
      </c>
      <c r="E60" s="227">
        <f t="shared" si="0"/>
        <v>11093965.970000001</v>
      </c>
      <c r="F60" s="216"/>
      <c r="G60" s="226">
        <f t="shared" si="1"/>
        <v>-1815.5</v>
      </c>
      <c r="H60" s="228">
        <f t="shared" si="2"/>
        <v>-4.1798551014262393E-2</v>
      </c>
      <c r="I60" s="229"/>
      <c r="J60" s="230">
        <f t="shared" si="3"/>
        <v>0</v>
      </c>
      <c r="K60" s="230">
        <f t="shared" si="4"/>
        <v>0</v>
      </c>
      <c r="L60">
        <f>K60*Calculations!Y60</f>
        <v>0</v>
      </c>
    </row>
    <row r="61" spans="1:12">
      <c r="A61" s="223">
        <v>252</v>
      </c>
      <c r="B61" s="232" t="s">
        <v>674</v>
      </c>
      <c r="C61" s="233">
        <v>42.25</v>
      </c>
      <c r="D61" s="226">
        <v>42045.5</v>
      </c>
      <c r="E61" s="227">
        <f t="shared" si="0"/>
        <v>1776422.38</v>
      </c>
      <c r="F61" s="216"/>
      <c r="G61" s="226">
        <f t="shared" si="1"/>
        <v>-1389.0199999999968</v>
      </c>
      <c r="H61" s="228">
        <f t="shared" si="2"/>
        <v>-3.1979632789771749E-2</v>
      </c>
      <c r="I61" s="229"/>
      <c r="J61" s="230">
        <f t="shared" si="3"/>
        <v>0</v>
      </c>
      <c r="K61" s="230">
        <f t="shared" si="4"/>
        <v>0</v>
      </c>
      <c r="L61">
        <f>K61*Calculations!Y61</f>
        <v>0</v>
      </c>
    </row>
    <row r="62" spans="1:12">
      <c r="A62" s="223">
        <v>253</v>
      </c>
      <c r="B62" s="232" t="s">
        <v>675</v>
      </c>
      <c r="C62" s="225">
        <v>39.25</v>
      </c>
      <c r="D62" s="226">
        <v>42732.97</v>
      </c>
      <c r="E62" s="227">
        <f t="shared" si="0"/>
        <v>1677269.07</v>
      </c>
      <c r="F62" s="216"/>
      <c r="G62" s="226">
        <f t="shared" si="1"/>
        <v>-701.54999999999563</v>
      </c>
      <c r="H62" s="228">
        <f t="shared" si="2"/>
        <v>-1.6151899456929551E-2</v>
      </c>
      <c r="I62" s="229"/>
      <c r="J62" s="230">
        <f t="shared" si="3"/>
        <v>0</v>
      </c>
      <c r="K62" s="230">
        <f t="shared" si="4"/>
        <v>0</v>
      </c>
      <c r="L62">
        <f>K62*Calculations!Y62</f>
        <v>0</v>
      </c>
    </row>
    <row r="63" spans="1:12">
      <c r="A63" s="223">
        <v>261</v>
      </c>
      <c r="B63" s="224" t="s">
        <v>676</v>
      </c>
      <c r="C63" s="225">
        <v>192.83</v>
      </c>
      <c r="D63" s="226">
        <v>42667.51</v>
      </c>
      <c r="E63" s="227">
        <f t="shared" si="0"/>
        <v>8227575.9500000002</v>
      </c>
      <c r="F63" s="216"/>
      <c r="G63" s="226">
        <f t="shared" si="1"/>
        <v>-767.00999999999476</v>
      </c>
      <c r="H63" s="228">
        <f t="shared" si="2"/>
        <v>-1.7658995655989631E-2</v>
      </c>
      <c r="I63" s="229"/>
      <c r="J63" s="230">
        <f t="shared" si="3"/>
        <v>0</v>
      </c>
      <c r="K63" s="230">
        <f t="shared" si="4"/>
        <v>0</v>
      </c>
      <c r="L63">
        <f>K63*Calculations!Y63</f>
        <v>0</v>
      </c>
    </row>
    <row r="64" spans="1:12">
      <c r="A64" s="223">
        <v>262</v>
      </c>
      <c r="B64" s="232" t="s">
        <v>677</v>
      </c>
      <c r="C64" s="225">
        <v>36.65</v>
      </c>
      <c r="D64" s="226">
        <v>45578.5</v>
      </c>
      <c r="E64" s="227">
        <f t="shared" si="0"/>
        <v>1670452.03</v>
      </c>
      <c r="F64" s="216"/>
      <c r="G64" s="226">
        <f t="shared" si="1"/>
        <v>2143.9800000000032</v>
      </c>
      <c r="H64" s="228">
        <f t="shared" si="2"/>
        <v>4.9361199340985082E-2</v>
      </c>
      <c r="I64" s="229"/>
      <c r="J64" s="230">
        <f t="shared" si="3"/>
        <v>2.7494188032928694E-2</v>
      </c>
      <c r="K64" s="230">
        <f t="shared" si="4"/>
        <v>2.7494188032928694E-2</v>
      </c>
      <c r="L64">
        <f>K64*Calculations!Y64</f>
        <v>22.698593287981367</v>
      </c>
    </row>
    <row r="65" spans="1:12">
      <c r="A65" s="223">
        <v>271</v>
      </c>
      <c r="B65" s="224" t="s">
        <v>678</v>
      </c>
      <c r="C65" s="225">
        <v>532.79</v>
      </c>
      <c r="D65" s="226">
        <v>44357.41</v>
      </c>
      <c r="E65" s="227">
        <f t="shared" si="0"/>
        <v>23633184.469999999</v>
      </c>
      <c r="F65" s="216"/>
      <c r="G65" s="226">
        <f t="shared" si="1"/>
        <v>922.89000000000669</v>
      </c>
      <c r="H65" s="228">
        <f t="shared" si="2"/>
        <v>2.1247846183174275E-2</v>
      </c>
      <c r="I65" s="229"/>
      <c r="J65" s="230">
        <f t="shared" si="3"/>
        <v>1.1835050324028071E-2</v>
      </c>
      <c r="K65" s="230">
        <f t="shared" si="4"/>
        <v>1.1835050324028071E-2</v>
      </c>
      <c r="L65">
        <f>K65*Calculations!Y65</f>
        <v>136.14178684669119</v>
      </c>
    </row>
    <row r="66" spans="1:12">
      <c r="A66" s="223">
        <v>272</v>
      </c>
      <c r="B66" s="224" t="s">
        <v>679</v>
      </c>
      <c r="C66" s="225">
        <v>232.29</v>
      </c>
      <c r="D66" s="226">
        <v>44630.85</v>
      </c>
      <c r="E66" s="227">
        <f t="shared" si="0"/>
        <v>10367300.15</v>
      </c>
      <c r="F66" s="216"/>
      <c r="G66" s="226">
        <f t="shared" si="1"/>
        <v>1196.3300000000017</v>
      </c>
      <c r="H66" s="228">
        <f t="shared" si="2"/>
        <v>2.7543299661191185E-2</v>
      </c>
      <c r="I66" s="229"/>
      <c r="J66" s="230">
        <f t="shared" si="3"/>
        <v>1.5341617911283491E-2</v>
      </c>
      <c r="K66" s="230">
        <f t="shared" si="4"/>
        <v>1.5341617911283491E-2</v>
      </c>
      <c r="L66">
        <f>K66*Calculations!Y66</f>
        <v>73.309169224178476</v>
      </c>
    </row>
    <row r="67" spans="1:12">
      <c r="A67" s="223">
        <v>273</v>
      </c>
      <c r="B67" s="224" t="s">
        <v>680</v>
      </c>
      <c r="C67" s="225">
        <v>294.905590361446</v>
      </c>
      <c r="D67" s="226">
        <v>43809.06</v>
      </c>
      <c r="E67" s="227">
        <f t="shared" ref="E67:E130" si="5">ROUND(C67*D67,2)</f>
        <v>12919536.699999999</v>
      </c>
      <c r="F67" s="216"/>
      <c r="G67" s="226">
        <f t="shared" ref="G67:G130" si="6">D67-$D$178</f>
        <v>374.54000000000087</v>
      </c>
      <c r="H67" s="228">
        <f t="shared" ref="H67:H130" si="7">MAX(G67/$D$178)</f>
        <v>8.6230951786735732E-3</v>
      </c>
      <c r="I67" s="229"/>
      <c r="J67" s="230">
        <f t="shared" ref="J67:J130" si="8">MAX(G67/$D$178,0)*0.557</f>
        <v>4.8030640145211804E-3</v>
      </c>
      <c r="K67" s="230">
        <f t="shared" ref="K67:K130" si="9">MIN(J67,$M$3)</f>
        <v>4.8030640145211804E-3</v>
      </c>
      <c r="L67">
        <f>K67*Calculations!Y67</f>
        <v>31.023164399664886</v>
      </c>
    </row>
    <row r="68" spans="1:12">
      <c r="A68" s="223">
        <v>274</v>
      </c>
      <c r="B68" s="231" t="s">
        <v>681</v>
      </c>
      <c r="C68" s="225">
        <v>12.83</v>
      </c>
      <c r="D68" s="226">
        <v>41563.65</v>
      </c>
      <c r="E68" s="227">
        <f t="shared" si="5"/>
        <v>533261.63</v>
      </c>
      <c r="F68" s="216"/>
      <c r="G68" s="226">
        <f t="shared" si="6"/>
        <v>-1870.8699999999953</v>
      </c>
      <c r="H68" s="228">
        <f t="shared" si="7"/>
        <v>-4.3073343506501174E-2</v>
      </c>
      <c r="I68" s="229"/>
      <c r="J68" s="230">
        <f t="shared" si="8"/>
        <v>0</v>
      </c>
      <c r="K68" s="230">
        <f t="shared" si="9"/>
        <v>0</v>
      </c>
      <c r="L68">
        <f>K68*Calculations!Y68</f>
        <v>0</v>
      </c>
    </row>
    <row r="69" spans="1:12">
      <c r="A69" s="223">
        <v>281</v>
      </c>
      <c r="B69" s="224" t="s">
        <v>682</v>
      </c>
      <c r="C69" s="225">
        <v>149.24</v>
      </c>
      <c r="D69" s="226">
        <v>44456.07</v>
      </c>
      <c r="E69" s="227">
        <f t="shared" si="5"/>
        <v>6634623.8899999997</v>
      </c>
      <c r="F69" s="216"/>
      <c r="G69" s="226">
        <f t="shared" si="6"/>
        <v>1021.5500000000029</v>
      </c>
      <c r="H69" s="228">
        <f t="shared" si="7"/>
        <v>2.3519311368008739E-2</v>
      </c>
      <c r="I69" s="229"/>
      <c r="J69" s="230">
        <f t="shared" si="8"/>
        <v>1.3100256431980869E-2</v>
      </c>
      <c r="K69" s="230">
        <f t="shared" si="9"/>
        <v>1.3100256431980869E-2</v>
      </c>
      <c r="L69">
        <f>K69*Calculations!Y69</f>
        <v>32.619507513068037</v>
      </c>
    </row>
    <row r="70" spans="1:12">
      <c r="A70" s="223">
        <v>282</v>
      </c>
      <c r="B70" s="232" t="s">
        <v>683</v>
      </c>
      <c r="C70" s="225">
        <v>23.23</v>
      </c>
      <c r="D70" s="226">
        <v>46073.37</v>
      </c>
      <c r="E70" s="227">
        <f t="shared" si="5"/>
        <v>1070284.3899999999</v>
      </c>
      <c r="F70" s="216"/>
      <c r="G70" s="226">
        <f t="shared" si="6"/>
        <v>2638.8500000000058</v>
      </c>
      <c r="H70" s="228">
        <f t="shared" si="7"/>
        <v>6.0754671629846629E-2</v>
      </c>
      <c r="I70" s="229"/>
      <c r="J70" s="230">
        <f t="shared" si="8"/>
        <v>3.3840352097824579E-2</v>
      </c>
      <c r="K70" s="230">
        <f t="shared" si="9"/>
        <v>3.3840352097824579E-2</v>
      </c>
      <c r="L70">
        <f>K70*Calculations!Y70</f>
        <v>16.218371276768526</v>
      </c>
    </row>
    <row r="71" spans="1:12">
      <c r="A71" s="223">
        <v>283</v>
      </c>
      <c r="B71" s="232" t="s">
        <v>684</v>
      </c>
      <c r="C71" s="233">
        <v>17.5</v>
      </c>
      <c r="D71" s="226">
        <v>44706.71</v>
      </c>
      <c r="E71" s="227">
        <f t="shared" si="5"/>
        <v>782367.43</v>
      </c>
      <c r="F71" s="216"/>
      <c r="G71" s="226">
        <f t="shared" si="6"/>
        <v>1272.1900000000023</v>
      </c>
      <c r="H71" s="228">
        <f t="shared" si="7"/>
        <v>2.928983674736137E-2</v>
      </c>
      <c r="I71" s="229"/>
      <c r="J71" s="230">
        <f t="shared" si="8"/>
        <v>1.6314439068280284E-2</v>
      </c>
      <c r="K71" s="230">
        <f t="shared" si="9"/>
        <v>1.6314439068280284E-2</v>
      </c>
      <c r="L71">
        <f>K71*Calculations!Y71</f>
        <v>6.4531794420047994</v>
      </c>
    </row>
    <row r="72" spans="1:12">
      <c r="A72" s="223">
        <v>285</v>
      </c>
      <c r="B72" s="232" t="s">
        <v>685</v>
      </c>
      <c r="C72" s="233">
        <v>31</v>
      </c>
      <c r="D72" s="226">
        <v>43685.39</v>
      </c>
      <c r="E72" s="227">
        <f t="shared" si="5"/>
        <v>1354247.09</v>
      </c>
      <c r="F72" s="216"/>
      <c r="G72" s="226">
        <f t="shared" si="6"/>
        <v>250.87000000000262</v>
      </c>
      <c r="H72" s="228">
        <f t="shared" si="7"/>
        <v>5.7758207066637927E-3</v>
      </c>
      <c r="I72" s="229"/>
      <c r="J72" s="230">
        <f t="shared" si="8"/>
        <v>3.2171321336117329E-3</v>
      </c>
      <c r="K72" s="230">
        <f t="shared" si="9"/>
        <v>3.2171321336117329E-3</v>
      </c>
      <c r="L72">
        <f>K72*Calculations!Y72</f>
        <v>2.1638009692286424</v>
      </c>
    </row>
    <row r="73" spans="1:12">
      <c r="A73" s="223">
        <v>287</v>
      </c>
      <c r="B73" s="232" t="s">
        <v>686</v>
      </c>
      <c r="C73" s="225">
        <v>20.55</v>
      </c>
      <c r="D73" s="226">
        <v>42176.27</v>
      </c>
      <c r="E73" s="227">
        <f t="shared" si="5"/>
        <v>866722.35</v>
      </c>
      <c r="F73" s="216"/>
      <c r="G73" s="226">
        <f t="shared" si="6"/>
        <v>-1258.25</v>
      </c>
      <c r="H73" s="228">
        <f t="shared" si="7"/>
        <v>-2.8968893865984939E-2</v>
      </c>
      <c r="I73" s="229"/>
      <c r="J73" s="230">
        <f t="shared" si="8"/>
        <v>0</v>
      </c>
      <c r="K73" s="230">
        <f t="shared" si="9"/>
        <v>0</v>
      </c>
      <c r="L73">
        <f>K73*Calculations!Y73</f>
        <v>0</v>
      </c>
    </row>
    <row r="74" spans="1:12">
      <c r="A74" s="223">
        <v>288</v>
      </c>
      <c r="B74" s="231" t="s">
        <v>687</v>
      </c>
      <c r="C74" s="225">
        <v>17</v>
      </c>
      <c r="D74" s="226">
        <v>44215.12</v>
      </c>
      <c r="E74" s="227">
        <f t="shared" si="5"/>
        <v>751657.04</v>
      </c>
      <c r="F74" s="216"/>
      <c r="G74" s="226">
        <f t="shared" si="6"/>
        <v>780.60000000000582</v>
      </c>
      <c r="H74" s="228">
        <f t="shared" si="7"/>
        <v>1.7971880430588526E-2</v>
      </c>
      <c r="I74" s="229"/>
      <c r="J74" s="230">
        <f t="shared" si="8"/>
        <v>1.001033739983781E-2</v>
      </c>
      <c r="K74" s="230">
        <f t="shared" si="9"/>
        <v>1.001033739983781E-2</v>
      </c>
      <c r="L74">
        <f>K74*Calculations!Y74</f>
        <v>4.6644525697748156</v>
      </c>
    </row>
    <row r="75" spans="1:12">
      <c r="A75" s="223">
        <v>291</v>
      </c>
      <c r="B75" s="224" t="s">
        <v>688</v>
      </c>
      <c r="C75" s="225">
        <v>44.45</v>
      </c>
      <c r="D75" s="226">
        <v>44346.720000000001</v>
      </c>
      <c r="E75" s="227">
        <f t="shared" si="5"/>
        <v>1971211.7</v>
      </c>
      <c r="F75" s="216"/>
      <c r="G75" s="226">
        <f t="shared" si="6"/>
        <v>912.20000000000437</v>
      </c>
      <c r="H75" s="228">
        <f t="shared" si="7"/>
        <v>2.1001728579019739E-2</v>
      </c>
      <c r="I75" s="229"/>
      <c r="J75" s="230">
        <f t="shared" si="8"/>
        <v>1.1697962818513995E-2</v>
      </c>
      <c r="K75" s="230">
        <f t="shared" si="9"/>
        <v>1.1697962818513995E-2</v>
      </c>
      <c r="L75">
        <f>K75*Calculations!Y75</f>
        <v>11.597084326474187</v>
      </c>
    </row>
    <row r="76" spans="1:12">
      <c r="A76" s="223">
        <v>292</v>
      </c>
      <c r="B76" s="232" t="s">
        <v>689</v>
      </c>
      <c r="C76" s="225">
        <v>12.5</v>
      </c>
      <c r="D76" s="226">
        <v>42767.56</v>
      </c>
      <c r="E76" s="227">
        <f t="shared" si="5"/>
        <v>534594.5</v>
      </c>
      <c r="F76" s="216"/>
      <c r="G76" s="226">
        <f t="shared" si="6"/>
        <v>-666.95999999999913</v>
      </c>
      <c r="H76" s="228">
        <f t="shared" si="7"/>
        <v>-1.5355528275666433E-2</v>
      </c>
      <c r="I76" s="229"/>
      <c r="J76" s="230">
        <f t="shared" si="8"/>
        <v>0</v>
      </c>
      <c r="K76" s="230">
        <f t="shared" si="9"/>
        <v>0</v>
      </c>
      <c r="L76">
        <f>K76*Calculations!Y76</f>
        <v>0</v>
      </c>
    </row>
    <row r="77" spans="1:12">
      <c r="A77" s="223">
        <v>302</v>
      </c>
      <c r="B77" s="231" t="s">
        <v>690</v>
      </c>
      <c r="C77" s="225">
        <v>16.04</v>
      </c>
      <c r="D77" s="226">
        <v>45633.02</v>
      </c>
      <c r="E77" s="227">
        <f t="shared" si="5"/>
        <v>731953.64</v>
      </c>
      <c r="F77" s="216"/>
      <c r="G77" s="226">
        <f t="shared" si="6"/>
        <v>2198.5</v>
      </c>
      <c r="H77" s="228">
        <f t="shared" si="7"/>
        <v>5.0616422145335099E-2</v>
      </c>
      <c r="I77" s="229"/>
      <c r="J77" s="230">
        <f t="shared" si="8"/>
        <v>2.8193347134951655E-2</v>
      </c>
      <c r="K77" s="230">
        <f t="shared" si="9"/>
        <v>2.8193347134951655E-2</v>
      </c>
      <c r="L77">
        <f>K77*Calculations!Y77</f>
        <v>9.2019331974858112</v>
      </c>
    </row>
    <row r="78" spans="1:12">
      <c r="A78" s="223">
        <v>304</v>
      </c>
      <c r="B78" s="231" t="s">
        <v>691</v>
      </c>
      <c r="C78" s="225">
        <v>26</v>
      </c>
      <c r="D78" s="226">
        <v>42831</v>
      </c>
      <c r="E78" s="227">
        <f t="shared" si="5"/>
        <v>1113606</v>
      </c>
      <c r="F78" s="216"/>
      <c r="G78" s="226">
        <f t="shared" si="6"/>
        <v>-603.5199999999968</v>
      </c>
      <c r="H78" s="228">
        <f t="shared" si="7"/>
        <v>-1.3894938864294963E-2</v>
      </c>
      <c r="I78" s="229"/>
      <c r="J78" s="230">
        <f t="shared" si="8"/>
        <v>0</v>
      </c>
      <c r="K78" s="230">
        <f t="shared" si="9"/>
        <v>0</v>
      </c>
      <c r="L78">
        <f>K78*Calculations!Y78</f>
        <v>0</v>
      </c>
    </row>
    <row r="79" spans="1:12">
      <c r="A79" s="223">
        <v>305</v>
      </c>
      <c r="B79" s="232" t="s">
        <v>692</v>
      </c>
      <c r="C79" s="225">
        <v>15.25</v>
      </c>
      <c r="D79" s="226">
        <v>43514.84</v>
      </c>
      <c r="E79" s="227">
        <f t="shared" si="5"/>
        <v>663601.31000000006</v>
      </c>
      <c r="F79" s="216"/>
      <c r="G79" s="226">
        <f t="shared" si="6"/>
        <v>80.319999999999709</v>
      </c>
      <c r="H79" s="228">
        <f t="shared" si="7"/>
        <v>1.8492203896808279E-3</v>
      </c>
      <c r="I79" s="229"/>
      <c r="J79" s="230">
        <f t="shared" si="8"/>
        <v>1.0300157570522213E-3</v>
      </c>
      <c r="K79" s="230">
        <f t="shared" si="9"/>
        <v>1.0300157570522213E-3</v>
      </c>
      <c r="L79">
        <f>K79*Calculations!Y79</f>
        <v>0.35735180045355475</v>
      </c>
    </row>
    <row r="80" spans="1:12">
      <c r="A80" s="223">
        <v>312</v>
      </c>
      <c r="B80" s="232" t="s">
        <v>693</v>
      </c>
      <c r="C80" s="225">
        <v>34.57</v>
      </c>
      <c r="D80" s="226">
        <v>41989.85</v>
      </c>
      <c r="E80" s="227">
        <f t="shared" si="5"/>
        <v>1451589.11</v>
      </c>
      <c r="F80" s="216"/>
      <c r="G80" s="226">
        <f t="shared" si="6"/>
        <v>-1444.6699999999983</v>
      </c>
      <c r="H80" s="228">
        <f t="shared" si="7"/>
        <v>-3.3260871767432872E-2</v>
      </c>
      <c r="I80" s="229"/>
      <c r="J80" s="230">
        <f t="shared" si="8"/>
        <v>0</v>
      </c>
      <c r="K80" s="230">
        <f t="shared" si="9"/>
        <v>0</v>
      </c>
      <c r="L80">
        <f>K80*Calculations!Y80</f>
        <v>0</v>
      </c>
    </row>
    <row r="81" spans="1:12">
      <c r="A81" s="223">
        <v>314</v>
      </c>
      <c r="B81" s="232" t="s">
        <v>694</v>
      </c>
      <c r="C81" s="233">
        <v>16.29</v>
      </c>
      <c r="D81" s="226">
        <v>45566.03</v>
      </c>
      <c r="E81" s="227">
        <f t="shared" si="5"/>
        <v>742270.63</v>
      </c>
      <c r="F81" s="216"/>
      <c r="G81" s="226">
        <f t="shared" si="6"/>
        <v>2131.510000000002</v>
      </c>
      <c r="H81" s="228">
        <f t="shared" si="7"/>
        <v>4.9074100508075195E-2</v>
      </c>
      <c r="I81" s="229"/>
      <c r="J81" s="230">
        <f t="shared" si="8"/>
        <v>2.7334273982997887E-2</v>
      </c>
      <c r="K81" s="230">
        <f t="shared" si="9"/>
        <v>2.7334273982997887E-2</v>
      </c>
      <c r="L81">
        <f>K81*Calculations!Y81</f>
        <v>10.368798536502293</v>
      </c>
    </row>
    <row r="82" spans="1:12">
      <c r="A82" s="223">
        <v>316</v>
      </c>
      <c r="B82" s="232" t="s">
        <v>695</v>
      </c>
      <c r="C82" s="225">
        <v>15.14</v>
      </c>
      <c r="D82" s="226">
        <v>42714.9</v>
      </c>
      <c r="E82" s="227">
        <f t="shared" si="5"/>
        <v>646703.59</v>
      </c>
      <c r="F82" s="216"/>
      <c r="G82" s="226">
        <f t="shared" si="6"/>
        <v>-719.61999999999534</v>
      </c>
      <c r="H82" s="228">
        <f t="shared" si="7"/>
        <v>-1.6567927998283286E-2</v>
      </c>
      <c r="I82" s="229"/>
      <c r="J82" s="230">
        <f t="shared" si="8"/>
        <v>0</v>
      </c>
      <c r="K82" s="230">
        <f t="shared" si="9"/>
        <v>0</v>
      </c>
      <c r="L82">
        <f>K82*Calculations!Y82</f>
        <v>0</v>
      </c>
    </row>
    <row r="83" spans="1:12">
      <c r="A83" s="223">
        <v>321</v>
      </c>
      <c r="B83" s="224" t="s">
        <v>696</v>
      </c>
      <c r="C83" s="225">
        <v>252.7</v>
      </c>
      <c r="D83" s="226">
        <v>41944.69</v>
      </c>
      <c r="E83" s="227">
        <f t="shared" si="5"/>
        <v>10599423.16</v>
      </c>
      <c r="F83" s="216"/>
      <c r="G83" s="226">
        <f t="shared" si="6"/>
        <v>-1489.8299999999945</v>
      </c>
      <c r="H83" s="228">
        <f t="shared" si="7"/>
        <v>-3.430059777338381E-2</v>
      </c>
      <c r="I83" s="229"/>
      <c r="J83" s="230">
        <f t="shared" si="8"/>
        <v>0</v>
      </c>
      <c r="K83" s="230">
        <f t="shared" si="9"/>
        <v>0</v>
      </c>
      <c r="L83">
        <f>K83*Calculations!Y83</f>
        <v>0</v>
      </c>
    </row>
    <row r="84" spans="1:12">
      <c r="A84" s="223">
        <v>322</v>
      </c>
      <c r="B84" s="232" t="s">
        <v>697</v>
      </c>
      <c r="C84" s="225">
        <v>84.4</v>
      </c>
      <c r="D84" s="226">
        <v>42812.9</v>
      </c>
      <c r="E84" s="227">
        <f t="shared" si="5"/>
        <v>3613408.76</v>
      </c>
      <c r="F84" s="216"/>
      <c r="G84" s="226">
        <f t="shared" si="6"/>
        <v>-621.61999999999534</v>
      </c>
      <c r="H84" s="228">
        <f t="shared" si="7"/>
        <v>-1.4311658100515337E-2</v>
      </c>
      <c r="I84" s="229"/>
      <c r="J84" s="230">
        <f t="shared" si="8"/>
        <v>0</v>
      </c>
      <c r="K84" s="230">
        <f t="shared" si="9"/>
        <v>0</v>
      </c>
      <c r="L84">
        <f>K84*Calculations!Y84</f>
        <v>0</v>
      </c>
    </row>
    <row r="85" spans="1:12">
      <c r="A85" s="223">
        <v>331</v>
      </c>
      <c r="B85" s="224" t="s">
        <v>698</v>
      </c>
      <c r="C85" s="225">
        <v>220.47</v>
      </c>
      <c r="D85" s="226">
        <v>42880.26</v>
      </c>
      <c r="E85" s="227">
        <f t="shared" si="5"/>
        <v>9453810.9199999999</v>
      </c>
      <c r="F85" s="216"/>
      <c r="G85" s="226">
        <f t="shared" si="6"/>
        <v>-554.25999999999476</v>
      </c>
      <c r="H85" s="228">
        <f t="shared" si="7"/>
        <v>-1.2760817893233189E-2</v>
      </c>
      <c r="I85" s="229"/>
      <c r="J85" s="230">
        <f t="shared" si="8"/>
        <v>0</v>
      </c>
      <c r="K85" s="230">
        <f t="shared" si="9"/>
        <v>0</v>
      </c>
      <c r="L85">
        <f>K85*Calculations!Y85</f>
        <v>0</v>
      </c>
    </row>
    <row r="86" spans="1:12">
      <c r="A86" s="223">
        <v>340</v>
      </c>
      <c r="B86" s="224" t="s">
        <v>699</v>
      </c>
      <c r="C86" s="225">
        <v>265.18</v>
      </c>
      <c r="D86" s="226">
        <v>44767.64</v>
      </c>
      <c r="E86" s="227">
        <f t="shared" si="5"/>
        <v>11871482.779999999</v>
      </c>
      <c r="F86" s="216"/>
      <c r="G86" s="226">
        <f t="shared" si="6"/>
        <v>1333.1200000000026</v>
      </c>
      <c r="H86" s="228">
        <f t="shared" si="7"/>
        <v>3.0692638021555269E-2</v>
      </c>
      <c r="I86" s="229"/>
      <c r="J86" s="230">
        <f t="shared" si="8"/>
        <v>1.7095799378006288E-2</v>
      </c>
      <c r="K86" s="230">
        <f t="shared" si="9"/>
        <v>1.7095799378006288E-2</v>
      </c>
      <c r="L86">
        <f>K86*Calculations!Y86</f>
        <v>86.087390951941643</v>
      </c>
    </row>
    <row r="87" spans="1:12">
      <c r="A87" s="223">
        <v>341</v>
      </c>
      <c r="B87" s="232" t="s">
        <v>700</v>
      </c>
      <c r="C87" s="225">
        <v>33</v>
      </c>
      <c r="D87" s="226">
        <v>45036.79</v>
      </c>
      <c r="E87" s="227">
        <f t="shared" si="5"/>
        <v>1486214.07</v>
      </c>
      <c r="F87" s="216"/>
      <c r="G87" s="226">
        <f t="shared" si="6"/>
        <v>1602.2700000000041</v>
      </c>
      <c r="H87" s="228">
        <f t="shared" si="7"/>
        <v>3.6889322133639421E-2</v>
      </c>
      <c r="I87" s="229"/>
      <c r="J87" s="230">
        <f t="shared" si="8"/>
        <v>2.0547352428437159E-2</v>
      </c>
      <c r="K87" s="230">
        <f t="shared" si="9"/>
        <v>2.0547352428437159E-2</v>
      </c>
      <c r="L87">
        <f>K87*Calculations!Y87</f>
        <v>14.692738787731912</v>
      </c>
    </row>
    <row r="88" spans="1:12">
      <c r="A88" s="223">
        <v>342</v>
      </c>
      <c r="B88" s="231" t="s">
        <v>701</v>
      </c>
      <c r="C88" s="225">
        <v>12.698085106382999</v>
      </c>
      <c r="D88" s="226">
        <v>39394.019999999997</v>
      </c>
      <c r="E88" s="227">
        <f t="shared" si="5"/>
        <v>500228.62</v>
      </c>
      <c r="F88" s="216"/>
      <c r="G88" s="226">
        <f t="shared" si="6"/>
        <v>-4040.5</v>
      </c>
      <c r="H88" s="228">
        <f t="shared" si="7"/>
        <v>-9.3025086958483716E-2</v>
      </c>
      <c r="I88" s="229"/>
      <c r="J88" s="230">
        <f t="shared" si="8"/>
        <v>0</v>
      </c>
      <c r="K88" s="230">
        <f t="shared" si="9"/>
        <v>0</v>
      </c>
      <c r="L88">
        <f>K88*Calculations!Y88</f>
        <v>0</v>
      </c>
    </row>
    <row r="89" spans="1:12">
      <c r="A89" s="223">
        <v>351</v>
      </c>
      <c r="B89" s="232" t="s">
        <v>702</v>
      </c>
      <c r="C89" s="225">
        <v>69.95</v>
      </c>
      <c r="D89" s="226">
        <v>41685.589999999997</v>
      </c>
      <c r="E89" s="227">
        <f t="shared" si="5"/>
        <v>2915907.02</v>
      </c>
      <c r="F89" s="216"/>
      <c r="G89" s="226">
        <f t="shared" si="6"/>
        <v>-1748.9300000000003</v>
      </c>
      <c r="H89" s="228">
        <f t="shared" si="7"/>
        <v>-4.0265899105135741E-2</v>
      </c>
      <c r="I89" s="229"/>
      <c r="J89" s="230">
        <f t="shared" si="8"/>
        <v>0</v>
      </c>
      <c r="K89" s="230">
        <f t="shared" si="9"/>
        <v>0</v>
      </c>
      <c r="L89">
        <f>K89*Calculations!Y89</f>
        <v>0</v>
      </c>
    </row>
    <row r="90" spans="1:12">
      <c r="A90" s="223">
        <v>363</v>
      </c>
      <c r="B90" s="231" t="s">
        <v>703</v>
      </c>
      <c r="C90" s="225">
        <v>47.68</v>
      </c>
      <c r="D90" s="226">
        <v>42201.03</v>
      </c>
      <c r="E90" s="227">
        <f t="shared" si="5"/>
        <v>2012145.11</v>
      </c>
      <c r="F90" s="216"/>
      <c r="G90" s="226">
        <f t="shared" si="6"/>
        <v>-1233.489999999998</v>
      </c>
      <c r="H90" s="228">
        <f t="shared" si="7"/>
        <v>-2.8398840369365151E-2</v>
      </c>
      <c r="I90" s="229"/>
      <c r="J90" s="230">
        <f t="shared" si="8"/>
        <v>0</v>
      </c>
      <c r="K90" s="230">
        <f t="shared" si="9"/>
        <v>0</v>
      </c>
      <c r="L90">
        <f>K90*Calculations!Y90</f>
        <v>0</v>
      </c>
    </row>
    <row r="91" spans="1:12">
      <c r="A91" s="223">
        <v>364</v>
      </c>
      <c r="B91" s="234" t="s">
        <v>704</v>
      </c>
      <c r="C91" s="225">
        <v>2</v>
      </c>
      <c r="D91" s="226">
        <v>37705</v>
      </c>
      <c r="E91" s="227">
        <f t="shared" si="5"/>
        <v>75410</v>
      </c>
      <c r="F91" s="216"/>
      <c r="G91" s="226">
        <f t="shared" si="6"/>
        <v>-5729.5199999999968</v>
      </c>
      <c r="H91" s="228">
        <f t="shared" si="7"/>
        <v>-0.13191166841489205</v>
      </c>
      <c r="I91" s="229"/>
      <c r="J91" s="230">
        <f t="shared" si="8"/>
        <v>0</v>
      </c>
      <c r="K91" s="230">
        <f t="shared" si="9"/>
        <v>0</v>
      </c>
      <c r="L91">
        <f>K91*Calculations!Y91</f>
        <v>0</v>
      </c>
    </row>
    <row r="92" spans="1:12">
      <c r="A92" s="223">
        <v>365</v>
      </c>
      <c r="B92" s="232" t="s">
        <v>705</v>
      </c>
      <c r="C92" s="225">
        <v>24</v>
      </c>
      <c r="D92" s="226">
        <v>39129.25</v>
      </c>
      <c r="E92" s="227">
        <f t="shared" si="5"/>
        <v>939102</v>
      </c>
      <c r="F92" s="216"/>
      <c r="G92" s="226">
        <f t="shared" si="6"/>
        <v>-4305.2699999999968</v>
      </c>
      <c r="H92" s="228">
        <f t="shared" si="7"/>
        <v>-9.9120929620034867E-2</v>
      </c>
      <c r="I92" s="229"/>
      <c r="J92" s="230">
        <f t="shared" si="8"/>
        <v>0</v>
      </c>
      <c r="K92" s="230">
        <f t="shared" si="9"/>
        <v>0</v>
      </c>
      <c r="L92">
        <f>K92*Calculations!Y92</f>
        <v>0</v>
      </c>
    </row>
    <row r="93" spans="1:12">
      <c r="A93" s="223">
        <v>370</v>
      </c>
      <c r="B93" s="224" t="s">
        <v>706</v>
      </c>
      <c r="C93" s="225">
        <v>63.93</v>
      </c>
      <c r="D93" s="226">
        <v>43235.5</v>
      </c>
      <c r="E93" s="227">
        <f t="shared" si="5"/>
        <v>2764045.52</v>
      </c>
      <c r="F93" s="216"/>
      <c r="G93" s="226">
        <f t="shared" si="6"/>
        <v>-199.0199999999968</v>
      </c>
      <c r="H93" s="228">
        <f t="shared" si="7"/>
        <v>-4.5820697454466361E-3</v>
      </c>
      <c r="I93" s="229"/>
      <c r="J93" s="230">
        <f t="shared" si="8"/>
        <v>0</v>
      </c>
      <c r="K93" s="230">
        <f t="shared" si="9"/>
        <v>0</v>
      </c>
      <c r="L93">
        <f>K93*Calculations!Y93</f>
        <v>0</v>
      </c>
    </row>
    <row r="94" spans="1:12">
      <c r="A94" s="223">
        <v>371</v>
      </c>
      <c r="B94" s="224" t="s">
        <v>707</v>
      </c>
      <c r="C94" s="225">
        <v>82.76</v>
      </c>
      <c r="D94" s="226">
        <v>42299.13</v>
      </c>
      <c r="E94" s="227">
        <f t="shared" si="5"/>
        <v>3500676</v>
      </c>
      <c r="F94" s="216"/>
      <c r="G94" s="226">
        <f t="shared" si="6"/>
        <v>-1135.3899999999994</v>
      </c>
      <c r="H94" s="228">
        <f t="shared" si="7"/>
        <v>-2.6140268155375023E-2</v>
      </c>
      <c r="I94" s="229"/>
      <c r="J94" s="230">
        <f t="shared" si="8"/>
        <v>0</v>
      </c>
      <c r="K94" s="230">
        <f t="shared" si="9"/>
        <v>0</v>
      </c>
      <c r="L94">
        <f>K94*Calculations!Y94</f>
        <v>0</v>
      </c>
    </row>
    <row r="95" spans="1:12">
      <c r="A95" s="223">
        <v>372</v>
      </c>
      <c r="B95" s="234" t="s">
        <v>708</v>
      </c>
      <c r="C95" s="225">
        <v>51.215000000000003</v>
      </c>
      <c r="D95" s="226">
        <v>44643.94</v>
      </c>
      <c r="E95" s="227">
        <f t="shared" si="5"/>
        <v>2286439.39</v>
      </c>
      <c r="F95" s="216"/>
      <c r="G95" s="226">
        <f t="shared" si="6"/>
        <v>1209.4200000000055</v>
      </c>
      <c r="H95" s="228">
        <f t="shared" si="7"/>
        <v>2.7844672854678849E-2</v>
      </c>
      <c r="I95" s="229"/>
      <c r="J95" s="230">
        <f t="shared" si="8"/>
        <v>1.550948278005612E-2</v>
      </c>
      <c r="K95" s="230">
        <f t="shared" si="9"/>
        <v>1.550948278005612E-2</v>
      </c>
      <c r="L95">
        <f>K95*Calculations!Y95</f>
        <v>18.384776521566394</v>
      </c>
    </row>
    <row r="96" spans="1:12">
      <c r="A96" s="223">
        <v>373</v>
      </c>
      <c r="B96" s="234" t="s">
        <v>709</v>
      </c>
      <c r="C96" s="225">
        <v>90.37</v>
      </c>
      <c r="D96" s="226">
        <v>43844.82</v>
      </c>
      <c r="E96" s="227">
        <f t="shared" si="5"/>
        <v>3962256.38</v>
      </c>
      <c r="F96" s="216"/>
      <c r="G96" s="226">
        <f t="shared" si="6"/>
        <v>410.30000000000291</v>
      </c>
      <c r="H96" s="228">
        <f t="shared" si="7"/>
        <v>9.4464034597367009E-3</v>
      </c>
      <c r="I96" s="229"/>
      <c r="J96" s="230">
        <f t="shared" si="8"/>
        <v>5.2616467270733425E-3</v>
      </c>
      <c r="K96" s="230">
        <f t="shared" si="9"/>
        <v>5.2616467270733425E-3</v>
      </c>
      <c r="L96">
        <f>K96*Calculations!Y96</f>
        <v>10.173408799871012</v>
      </c>
    </row>
    <row r="97" spans="1:12">
      <c r="A97" s="223">
        <v>381</v>
      </c>
      <c r="B97" s="232" t="s">
        <v>710</v>
      </c>
      <c r="C97" s="225">
        <v>84.65</v>
      </c>
      <c r="D97" s="226">
        <v>43528.82</v>
      </c>
      <c r="E97" s="227">
        <f t="shared" si="5"/>
        <v>3684714.61</v>
      </c>
      <c r="F97" s="216"/>
      <c r="G97" s="226">
        <f t="shared" si="6"/>
        <v>94.30000000000291</v>
      </c>
      <c r="H97" s="228">
        <f t="shared" si="7"/>
        <v>2.1710841975461663E-3</v>
      </c>
      <c r="I97" s="229"/>
      <c r="J97" s="230">
        <f t="shared" si="8"/>
        <v>1.2092938980332148E-3</v>
      </c>
      <c r="K97" s="230">
        <f t="shared" si="9"/>
        <v>1.2092938980332148E-3</v>
      </c>
      <c r="L97">
        <f>K97*Calculations!Y97</f>
        <v>2.0799877324941205</v>
      </c>
    </row>
    <row r="98" spans="1:12">
      <c r="A98" s="223">
        <v>382</v>
      </c>
      <c r="B98" s="232" t="s">
        <v>711</v>
      </c>
      <c r="C98" s="225">
        <v>17.21</v>
      </c>
      <c r="D98" s="226">
        <v>42574.85</v>
      </c>
      <c r="E98" s="227">
        <f t="shared" si="5"/>
        <v>732713.17</v>
      </c>
      <c r="F98" s="216"/>
      <c r="G98" s="226">
        <f t="shared" si="6"/>
        <v>-859.66999999999825</v>
      </c>
      <c r="H98" s="228">
        <f t="shared" si="7"/>
        <v>-1.9792321867491532E-2</v>
      </c>
      <c r="I98" s="229"/>
      <c r="J98" s="230">
        <f t="shared" si="8"/>
        <v>0</v>
      </c>
      <c r="K98" s="230">
        <f t="shared" si="9"/>
        <v>0</v>
      </c>
      <c r="L98">
        <f>K98*Calculations!Y98</f>
        <v>0</v>
      </c>
    </row>
    <row r="99" spans="1:12">
      <c r="A99" s="223">
        <v>383</v>
      </c>
      <c r="B99" s="232" t="s">
        <v>712</v>
      </c>
      <c r="C99" s="225">
        <v>1.75</v>
      </c>
      <c r="D99" s="226">
        <v>50002</v>
      </c>
      <c r="E99" s="227">
        <f t="shared" si="5"/>
        <v>87503.5</v>
      </c>
      <c r="F99" s="216"/>
      <c r="G99" s="226">
        <f t="shared" si="6"/>
        <v>6567.4800000000032</v>
      </c>
      <c r="H99" s="228">
        <f t="shared" si="7"/>
        <v>0.1512041574305415</v>
      </c>
      <c r="I99" s="229"/>
      <c r="J99" s="230">
        <f t="shared" si="8"/>
        <v>8.422071568881162E-2</v>
      </c>
      <c r="K99" s="230">
        <f t="shared" si="9"/>
        <v>0.05</v>
      </c>
      <c r="L99">
        <f>K99*Calculations!Y99</f>
        <v>2.4078479925245584</v>
      </c>
    </row>
    <row r="100" spans="1:12">
      <c r="A100" s="223">
        <v>391</v>
      </c>
      <c r="B100" s="232" t="s">
        <v>713</v>
      </c>
      <c r="C100" s="225">
        <v>61.94</v>
      </c>
      <c r="D100" s="226">
        <v>42665.82</v>
      </c>
      <c r="E100" s="227">
        <f t="shared" si="5"/>
        <v>2642720.89</v>
      </c>
      <c r="F100" s="216"/>
      <c r="G100" s="226">
        <f t="shared" si="6"/>
        <v>-768.69999999999709</v>
      </c>
      <c r="H100" s="228">
        <f t="shared" si="7"/>
        <v>-1.7697904800145072E-2</v>
      </c>
      <c r="I100" s="229"/>
      <c r="J100" s="230">
        <f t="shared" si="8"/>
        <v>0</v>
      </c>
      <c r="K100" s="230">
        <f t="shared" si="9"/>
        <v>0</v>
      </c>
      <c r="L100">
        <f>K100*Calculations!Y100</f>
        <v>0</v>
      </c>
    </row>
    <row r="101" spans="1:12">
      <c r="A101" s="223">
        <v>392</v>
      </c>
      <c r="B101" s="232" t="s">
        <v>714</v>
      </c>
      <c r="C101" s="225">
        <v>12.92</v>
      </c>
      <c r="D101" s="226">
        <v>44498.52</v>
      </c>
      <c r="E101" s="227">
        <f t="shared" si="5"/>
        <v>574920.88</v>
      </c>
      <c r="F101" s="216"/>
      <c r="G101" s="226">
        <f t="shared" si="6"/>
        <v>1064</v>
      </c>
      <c r="H101" s="228">
        <f t="shared" si="7"/>
        <v>2.4496644604337751E-2</v>
      </c>
      <c r="I101" s="229"/>
      <c r="J101" s="230">
        <f t="shared" si="8"/>
        <v>1.3644631044616129E-2</v>
      </c>
      <c r="K101" s="230">
        <f t="shared" si="9"/>
        <v>1.3644631044616129E-2</v>
      </c>
      <c r="L101">
        <f>K101*Calculations!Y101</f>
        <v>3.8547646486968437</v>
      </c>
    </row>
    <row r="102" spans="1:12">
      <c r="A102" s="223">
        <v>393</v>
      </c>
      <c r="B102" s="224" t="s">
        <v>715</v>
      </c>
      <c r="C102" s="225">
        <v>38.159999999999997</v>
      </c>
      <c r="D102" s="226">
        <v>42377.58</v>
      </c>
      <c r="E102" s="227">
        <f t="shared" si="5"/>
        <v>1617128.45</v>
      </c>
      <c r="F102" s="216"/>
      <c r="G102" s="226">
        <f t="shared" si="6"/>
        <v>-1056.9399999999951</v>
      </c>
      <c r="H102" s="228">
        <f t="shared" si="7"/>
        <v>-2.4334101079049455E-2</v>
      </c>
      <c r="I102" s="229"/>
      <c r="J102" s="230">
        <f t="shared" si="8"/>
        <v>0</v>
      </c>
      <c r="K102" s="230">
        <f t="shared" si="9"/>
        <v>0</v>
      </c>
      <c r="L102">
        <f>K102*Calculations!Y102</f>
        <v>0</v>
      </c>
    </row>
    <row r="103" spans="1:12">
      <c r="A103" s="223">
        <v>394</v>
      </c>
      <c r="B103" s="232" t="s">
        <v>716</v>
      </c>
      <c r="C103" s="225">
        <v>1</v>
      </c>
      <c r="D103" s="226">
        <v>50902</v>
      </c>
      <c r="E103" s="227">
        <f t="shared" si="5"/>
        <v>50902</v>
      </c>
      <c r="F103" s="216"/>
      <c r="G103" s="226">
        <f t="shared" si="6"/>
        <v>7467.4800000000032</v>
      </c>
      <c r="H103" s="228">
        <f t="shared" si="7"/>
        <v>0.17192500343045125</v>
      </c>
      <c r="I103" s="229"/>
      <c r="J103" s="230">
        <f t="shared" si="8"/>
        <v>9.5762226910761361E-2</v>
      </c>
      <c r="K103" s="230">
        <f t="shared" si="9"/>
        <v>0.05</v>
      </c>
      <c r="L103">
        <f>K103*Calculations!Y103</f>
        <v>2.4836005070877292</v>
      </c>
    </row>
    <row r="104" spans="1:12">
      <c r="A104" s="223">
        <v>401</v>
      </c>
      <c r="B104" s="232" t="s">
        <v>717</v>
      </c>
      <c r="C104" s="225">
        <v>100.13</v>
      </c>
      <c r="D104" s="226">
        <v>43855.78</v>
      </c>
      <c r="E104" s="227">
        <f t="shared" si="5"/>
        <v>4391279.25</v>
      </c>
      <c r="F104" s="216"/>
      <c r="G104" s="226">
        <f t="shared" si="6"/>
        <v>421.26000000000204</v>
      </c>
      <c r="H104" s="228">
        <f t="shared" si="7"/>
        <v>9.698737317691138E-3</v>
      </c>
      <c r="I104" s="229"/>
      <c r="J104" s="230">
        <f t="shared" si="8"/>
        <v>5.4021966859539644E-3</v>
      </c>
      <c r="K104" s="230">
        <f t="shared" si="9"/>
        <v>5.4021966859539644E-3</v>
      </c>
      <c r="L104">
        <f>K104*Calculations!Y104</f>
        <v>10.840719605250728</v>
      </c>
    </row>
    <row r="105" spans="1:12">
      <c r="A105" s="223">
        <v>411</v>
      </c>
      <c r="B105" s="224" t="s">
        <v>718</v>
      </c>
      <c r="C105" s="225">
        <v>471.16</v>
      </c>
      <c r="D105" s="226">
        <v>42923.360000000001</v>
      </c>
      <c r="E105" s="227">
        <f t="shared" si="5"/>
        <v>20223770.300000001</v>
      </c>
      <c r="F105" s="216"/>
      <c r="G105" s="226">
        <f t="shared" si="6"/>
        <v>-511.15999999999622</v>
      </c>
      <c r="H105" s="228">
        <f t="shared" si="7"/>
        <v>-1.1768519601459767E-2</v>
      </c>
      <c r="I105" s="229"/>
      <c r="J105" s="230">
        <f t="shared" si="8"/>
        <v>0</v>
      </c>
      <c r="K105" s="230">
        <f t="shared" si="9"/>
        <v>0</v>
      </c>
      <c r="L105">
        <f>K105*Calculations!Y105</f>
        <v>0</v>
      </c>
    </row>
    <row r="106" spans="1:12">
      <c r="A106" s="223">
        <v>412</v>
      </c>
      <c r="B106" s="231" t="s">
        <v>719</v>
      </c>
      <c r="C106" s="225">
        <v>65.72</v>
      </c>
      <c r="D106" s="226">
        <v>41250.230000000003</v>
      </c>
      <c r="E106" s="227">
        <f t="shared" si="5"/>
        <v>2710965.12</v>
      </c>
      <c r="F106" s="216"/>
      <c r="G106" s="226">
        <f t="shared" si="6"/>
        <v>-2184.2899999999936</v>
      </c>
      <c r="H106" s="228">
        <f t="shared" si="7"/>
        <v>-5.0289263010158597E-2</v>
      </c>
      <c r="I106" s="229"/>
      <c r="J106" s="230">
        <f t="shared" si="8"/>
        <v>0</v>
      </c>
      <c r="K106" s="230">
        <f t="shared" si="9"/>
        <v>0</v>
      </c>
      <c r="L106">
        <f>K106*Calculations!Y106</f>
        <v>0</v>
      </c>
    </row>
    <row r="107" spans="1:12">
      <c r="A107" s="223">
        <v>413</v>
      </c>
      <c r="B107" s="232" t="s">
        <v>720</v>
      </c>
      <c r="C107" s="225">
        <v>89.67</v>
      </c>
      <c r="D107" s="226">
        <v>41744.71</v>
      </c>
      <c r="E107" s="227">
        <f t="shared" si="5"/>
        <v>3743248.15</v>
      </c>
      <c r="F107" s="216"/>
      <c r="G107" s="226">
        <f t="shared" si="6"/>
        <v>-1689.8099999999977</v>
      </c>
      <c r="H107" s="228">
        <f t="shared" si="7"/>
        <v>-3.8904769754563834E-2</v>
      </c>
      <c r="I107" s="229"/>
      <c r="J107" s="230">
        <f t="shared" si="8"/>
        <v>0</v>
      </c>
      <c r="K107" s="230">
        <f t="shared" si="9"/>
        <v>0</v>
      </c>
      <c r="L107">
        <f>K107*Calculations!Y107</f>
        <v>0</v>
      </c>
    </row>
    <row r="108" spans="1:12">
      <c r="A108" s="223">
        <v>414</v>
      </c>
      <c r="B108" s="232" t="s">
        <v>721</v>
      </c>
      <c r="C108" s="225">
        <v>100.69</v>
      </c>
      <c r="D108" s="226">
        <v>43534.86</v>
      </c>
      <c r="E108" s="227">
        <f t="shared" si="5"/>
        <v>4383525.05</v>
      </c>
      <c r="F108" s="216"/>
      <c r="G108" s="226">
        <f t="shared" si="6"/>
        <v>100.34000000000378</v>
      </c>
      <c r="H108" s="228">
        <f t="shared" si="7"/>
        <v>2.3101440973678031E-3</v>
      </c>
      <c r="I108" s="229"/>
      <c r="J108" s="230">
        <f t="shared" si="8"/>
        <v>1.2867502622338665E-3</v>
      </c>
      <c r="K108" s="230">
        <f t="shared" si="9"/>
        <v>1.2867502622338665E-3</v>
      </c>
      <c r="L108">
        <f>K108*Calculations!Y108</f>
        <v>2.7167654250084654</v>
      </c>
    </row>
    <row r="109" spans="1:12">
      <c r="A109" s="223">
        <v>415</v>
      </c>
      <c r="B109" s="232" t="s">
        <v>722</v>
      </c>
      <c r="C109" s="225">
        <v>20.93</v>
      </c>
      <c r="D109" s="226">
        <v>43833.120000000003</v>
      </c>
      <c r="E109" s="227">
        <f t="shared" si="5"/>
        <v>917427.19999999995</v>
      </c>
      <c r="F109" s="216"/>
      <c r="G109" s="226">
        <f t="shared" si="6"/>
        <v>398.60000000000582</v>
      </c>
      <c r="H109" s="228">
        <f t="shared" si="7"/>
        <v>9.1770324617379412E-3</v>
      </c>
      <c r="I109" s="229"/>
      <c r="J109" s="230">
        <f t="shared" si="8"/>
        <v>5.1116070811880335E-3</v>
      </c>
      <c r="K109" s="230">
        <f t="shared" si="9"/>
        <v>5.1116070811880335E-3</v>
      </c>
      <c r="L109">
        <f>K109*Calculations!Y109</f>
        <v>2.5074769230396692</v>
      </c>
    </row>
    <row r="110" spans="1:12">
      <c r="A110" s="223">
        <v>416</v>
      </c>
      <c r="B110" s="232" t="s">
        <v>723</v>
      </c>
      <c r="C110" s="225">
        <v>0.8</v>
      </c>
      <c r="D110" s="226">
        <v>42825</v>
      </c>
      <c r="E110" s="227">
        <f t="shared" si="5"/>
        <v>34260</v>
      </c>
      <c r="F110" s="216"/>
      <c r="G110" s="226">
        <f t="shared" si="6"/>
        <v>-609.5199999999968</v>
      </c>
      <c r="H110" s="228">
        <f t="shared" si="7"/>
        <v>-1.4033077837627694E-2</v>
      </c>
      <c r="I110" s="229"/>
      <c r="J110" s="230">
        <f t="shared" si="8"/>
        <v>0</v>
      </c>
      <c r="K110" s="230">
        <f t="shared" si="9"/>
        <v>0</v>
      </c>
      <c r="L110">
        <f>K110*Calculations!Y110</f>
        <v>0</v>
      </c>
    </row>
    <row r="111" spans="1:12">
      <c r="A111" s="223">
        <v>417</v>
      </c>
      <c r="B111" s="231" t="s">
        <v>724</v>
      </c>
      <c r="C111" s="233">
        <v>20.399999999999999</v>
      </c>
      <c r="D111" s="226">
        <v>45066.23</v>
      </c>
      <c r="E111" s="227">
        <f t="shared" si="5"/>
        <v>919351.09</v>
      </c>
      <c r="F111" s="216"/>
      <c r="G111" s="226">
        <f t="shared" si="6"/>
        <v>1631.7100000000064</v>
      </c>
      <c r="H111" s="228">
        <f t="shared" si="7"/>
        <v>3.7567124029458748E-2</v>
      </c>
      <c r="I111" s="229"/>
      <c r="J111" s="230">
        <f t="shared" si="8"/>
        <v>2.0924888084408524E-2</v>
      </c>
      <c r="K111" s="230">
        <f t="shared" si="9"/>
        <v>2.0924888084408524E-2</v>
      </c>
      <c r="L111">
        <f>K111*Calculations!Y111</f>
        <v>11.58580315294652</v>
      </c>
    </row>
    <row r="112" spans="1:12">
      <c r="A112" s="223">
        <v>418</v>
      </c>
      <c r="B112" s="232" t="s">
        <v>725</v>
      </c>
      <c r="C112" s="225">
        <v>20.6</v>
      </c>
      <c r="D112" s="226">
        <v>42964.160000000003</v>
      </c>
      <c r="E112" s="227">
        <f t="shared" si="5"/>
        <v>885061.7</v>
      </c>
      <c r="F112" s="216"/>
      <c r="G112" s="226">
        <f t="shared" si="6"/>
        <v>-470.35999999999331</v>
      </c>
      <c r="H112" s="228">
        <f t="shared" si="7"/>
        <v>-1.0829174582797123E-2</v>
      </c>
      <c r="I112" s="229"/>
      <c r="J112" s="230">
        <f t="shared" si="8"/>
        <v>0</v>
      </c>
      <c r="K112" s="230">
        <f t="shared" si="9"/>
        <v>0</v>
      </c>
      <c r="L112">
        <f>K112*Calculations!Y112</f>
        <v>0</v>
      </c>
    </row>
    <row r="113" spans="1:12">
      <c r="A113" s="223">
        <v>421</v>
      </c>
      <c r="B113" s="224" t="s">
        <v>726</v>
      </c>
      <c r="C113" s="225">
        <v>76.680000000000007</v>
      </c>
      <c r="D113" s="226">
        <v>45182.02</v>
      </c>
      <c r="E113" s="227">
        <f t="shared" si="5"/>
        <v>3464557.29</v>
      </c>
      <c r="F113" s="216"/>
      <c r="G113" s="226">
        <f t="shared" si="6"/>
        <v>1747.5</v>
      </c>
      <c r="H113" s="228">
        <f t="shared" si="7"/>
        <v>4.0232975983158101E-2</v>
      </c>
      <c r="I113" s="229"/>
      <c r="J113" s="230">
        <f t="shared" si="8"/>
        <v>2.2409767622619065E-2</v>
      </c>
      <c r="K113" s="230">
        <f t="shared" si="9"/>
        <v>2.2409767622619065E-2</v>
      </c>
      <c r="L113">
        <f>K113*Calculations!Y113</f>
        <v>33.637168135039282</v>
      </c>
    </row>
    <row r="114" spans="1:12">
      <c r="A114" s="223">
        <v>422</v>
      </c>
      <c r="B114" s="232" t="s">
        <v>727</v>
      </c>
      <c r="C114" s="225">
        <v>20.03</v>
      </c>
      <c r="D114" s="226">
        <v>42335.46</v>
      </c>
      <c r="E114" s="227">
        <f t="shared" si="5"/>
        <v>847979.26</v>
      </c>
      <c r="F114" s="216"/>
      <c r="G114" s="226">
        <f t="shared" si="6"/>
        <v>-1099.0599999999977</v>
      </c>
      <c r="H114" s="228">
        <f t="shared" si="7"/>
        <v>-2.5303836671845291E-2</v>
      </c>
      <c r="I114" s="229"/>
      <c r="J114" s="230">
        <f t="shared" si="8"/>
        <v>0</v>
      </c>
      <c r="K114" s="230">
        <f t="shared" si="9"/>
        <v>0</v>
      </c>
      <c r="L114">
        <f>K114*Calculations!Y114</f>
        <v>0</v>
      </c>
    </row>
    <row r="115" spans="1:12">
      <c r="A115" s="223">
        <v>431</v>
      </c>
      <c r="B115" s="224" t="s">
        <v>728</v>
      </c>
      <c r="C115" s="225">
        <v>83.348301886792399</v>
      </c>
      <c r="D115" s="226">
        <v>44314.26</v>
      </c>
      <c r="E115" s="227">
        <f t="shared" si="5"/>
        <v>3693518.32</v>
      </c>
      <c r="F115" s="216"/>
      <c r="G115" s="226">
        <f t="shared" si="6"/>
        <v>879.74000000000524</v>
      </c>
      <c r="H115" s="228">
        <f t="shared" si="7"/>
        <v>2.025439673328968E-2</v>
      </c>
      <c r="I115" s="229"/>
      <c r="J115" s="230">
        <f t="shared" si="8"/>
        <v>1.1281698980442352E-2</v>
      </c>
      <c r="K115" s="230">
        <f t="shared" si="9"/>
        <v>1.1281698980442352E-2</v>
      </c>
      <c r="L115">
        <f>K115*Calculations!Y115</f>
        <v>19.813081676003623</v>
      </c>
    </row>
    <row r="116" spans="1:12">
      <c r="A116" s="223">
        <v>432</v>
      </c>
      <c r="B116" s="231" t="s">
        <v>729</v>
      </c>
      <c r="C116" s="225">
        <v>15.199099099099101</v>
      </c>
      <c r="D116" s="226">
        <v>43288.94</v>
      </c>
      <c r="E116" s="227">
        <f t="shared" si="5"/>
        <v>657952.89</v>
      </c>
      <c r="F116" s="216"/>
      <c r="G116" s="226">
        <f t="shared" si="6"/>
        <v>-145.57999999999447</v>
      </c>
      <c r="H116" s="228">
        <f t="shared" si="7"/>
        <v>-3.3517119562963857E-3</v>
      </c>
      <c r="I116" s="229"/>
      <c r="J116" s="230">
        <f t="shared" si="8"/>
        <v>0</v>
      </c>
      <c r="K116" s="230">
        <f t="shared" si="9"/>
        <v>0</v>
      </c>
      <c r="L116">
        <f>K116*Calculations!Y116</f>
        <v>0</v>
      </c>
    </row>
    <row r="117" spans="1:12">
      <c r="A117" s="223">
        <v>433</v>
      </c>
      <c r="B117" s="232" t="s">
        <v>730</v>
      </c>
      <c r="C117" s="225">
        <v>14.55</v>
      </c>
      <c r="D117" s="226">
        <v>44171.58</v>
      </c>
      <c r="E117" s="227">
        <f t="shared" si="5"/>
        <v>642696.49</v>
      </c>
      <c r="F117" s="216"/>
      <c r="G117" s="226">
        <f t="shared" si="6"/>
        <v>737.06000000000495</v>
      </c>
      <c r="H117" s="228">
        <f t="shared" si="7"/>
        <v>1.6969451947437316E-2</v>
      </c>
      <c r="I117" s="229"/>
      <c r="J117" s="230">
        <f t="shared" si="8"/>
        <v>9.4519847347225867E-3</v>
      </c>
      <c r="K117" s="230">
        <f t="shared" si="9"/>
        <v>9.4519847347225867E-3</v>
      </c>
      <c r="L117">
        <f>K117*Calculations!Y117</f>
        <v>2.7846204963668399</v>
      </c>
    </row>
    <row r="118" spans="1:12">
      <c r="A118" s="223">
        <v>451</v>
      </c>
      <c r="B118" s="232" t="s">
        <v>731</v>
      </c>
      <c r="C118" s="233">
        <v>16.809999999999999</v>
      </c>
      <c r="D118" s="235">
        <v>45291.92</v>
      </c>
      <c r="E118" s="227">
        <f t="shared" si="5"/>
        <v>761357.18</v>
      </c>
      <c r="F118" s="216"/>
      <c r="G118" s="226">
        <f t="shared" si="6"/>
        <v>1857.4000000000015</v>
      </c>
      <c r="H118" s="228">
        <f t="shared" si="7"/>
        <v>4.2763221511369333E-2</v>
      </c>
      <c r="I118" s="229"/>
      <c r="J118" s="230">
        <f t="shared" si="8"/>
        <v>2.3819114381832721E-2</v>
      </c>
      <c r="K118" s="230">
        <f t="shared" si="9"/>
        <v>2.3819114381832721E-2</v>
      </c>
      <c r="L118">
        <f>K118*Calculations!Y118</f>
        <v>14.629019229857915</v>
      </c>
    </row>
    <row r="119" spans="1:12">
      <c r="A119" s="223">
        <v>452</v>
      </c>
      <c r="B119" s="232" t="s">
        <v>732</v>
      </c>
      <c r="C119" s="233">
        <v>40.72</v>
      </c>
      <c r="D119" s="235">
        <v>44742.65</v>
      </c>
      <c r="E119" s="227">
        <f t="shared" si="5"/>
        <v>1821920.71</v>
      </c>
      <c r="F119" s="216"/>
      <c r="G119" s="226">
        <f t="shared" si="6"/>
        <v>1308.1300000000047</v>
      </c>
      <c r="H119" s="228">
        <f t="shared" si="7"/>
        <v>3.0117289197624488E-2</v>
      </c>
      <c r="I119" s="229"/>
      <c r="J119" s="230">
        <f t="shared" si="8"/>
        <v>1.6775330083076842E-2</v>
      </c>
      <c r="K119" s="230">
        <f t="shared" si="9"/>
        <v>1.6775330083076842E-2</v>
      </c>
      <c r="L119">
        <f>K119*Calculations!Y119</f>
        <v>33.380757715289647</v>
      </c>
    </row>
    <row r="120" spans="1:12">
      <c r="A120" s="223">
        <v>453</v>
      </c>
      <c r="B120" s="232" t="s">
        <v>733</v>
      </c>
      <c r="C120" s="233">
        <v>21.54</v>
      </c>
      <c r="D120" s="235">
        <v>45778.98</v>
      </c>
      <c r="E120" s="227">
        <f t="shared" si="5"/>
        <v>986079.23</v>
      </c>
      <c r="F120" s="216"/>
      <c r="G120" s="226">
        <f t="shared" si="6"/>
        <v>2344.4600000000064</v>
      </c>
      <c r="H120" s="228">
        <f t="shared" si="7"/>
        <v>5.3976882903276166E-2</v>
      </c>
      <c r="I120" s="229"/>
      <c r="J120" s="230">
        <f t="shared" si="8"/>
        <v>3.0065123777124829E-2</v>
      </c>
      <c r="K120" s="230">
        <f t="shared" si="9"/>
        <v>3.0065123777124829E-2</v>
      </c>
      <c r="L120">
        <f>K120*Calculations!Y120</f>
        <v>22.010211492192575</v>
      </c>
    </row>
    <row r="121" spans="1:12">
      <c r="A121" s="223">
        <v>454</v>
      </c>
      <c r="B121" s="232" t="s">
        <v>734</v>
      </c>
      <c r="C121" s="233">
        <v>13</v>
      </c>
      <c r="D121" s="235">
        <v>42215.199999999997</v>
      </c>
      <c r="E121" s="227">
        <f t="shared" si="5"/>
        <v>548797.6</v>
      </c>
      <c r="F121" s="216"/>
      <c r="G121" s="226">
        <f t="shared" si="6"/>
        <v>-1219.3199999999997</v>
      </c>
      <c r="H121" s="228">
        <f t="shared" si="7"/>
        <v>-2.8072602160677723E-2</v>
      </c>
      <c r="I121" s="229"/>
      <c r="J121" s="230">
        <f t="shared" si="8"/>
        <v>0</v>
      </c>
      <c r="K121" s="230">
        <f t="shared" si="9"/>
        <v>0</v>
      </c>
      <c r="L121">
        <f>K121*Calculations!Y121</f>
        <v>0</v>
      </c>
    </row>
    <row r="122" spans="1:12">
      <c r="A122" s="223">
        <v>455</v>
      </c>
      <c r="B122" s="232" t="s">
        <v>735</v>
      </c>
      <c r="C122" s="233">
        <v>44.82</v>
      </c>
      <c r="D122" s="235">
        <v>41652.839999999997</v>
      </c>
      <c r="E122" s="227">
        <f t="shared" si="5"/>
        <v>1866880.29</v>
      </c>
      <c r="F122" s="216"/>
      <c r="G122" s="226">
        <f t="shared" si="6"/>
        <v>-1781.6800000000003</v>
      </c>
      <c r="H122" s="228">
        <f t="shared" si="7"/>
        <v>-4.1019907667910235E-2</v>
      </c>
      <c r="I122" s="229"/>
      <c r="J122" s="230">
        <f t="shared" si="8"/>
        <v>0</v>
      </c>
      <c r="K122" s="230">
        <f t="shared" si="9"/>
        <v>0</v>
      </c>
      <c r="L122">
        <f>K122*Calculations!Y122</f>
        <v>0</v>
      </c>
    </row>
    <row r="123" spans="1:12">
      <c r="A123" s="223">
        <v>456</v>
      </c>
      <c r="B123" s="232" t="s">
        <v>736</v>
      </c>
      <c r="C123" s="233">
        <v>14.85</v>
      </c>
      <c r="D123" s="235">
        <v>43270.46</v>
      </c>
      <c r="E123" s="227">
        <f t="shared" si="5"/>
        <v>642566.32999999996</v>
      </c>
      <c r="F123" s="216"/>
      <c r="G123" s="226">
        <f t="shared" si="6"/>
        <v>-164.05999999999767</v>
      </c>
      <c r="H123" s="228">
        <f t="shared" si="7"/>
        <v>-3.7771799941612727E-3</v>
      </c>
      <c r="I123" s="229"/>
      <c r="J123" s="230">
        <f t="shared" si="8"/>
        <v>0</v>
      </c>
      <c r="K123" s="230">
        <f t="shared" si="9"/>
        <v>0</v>
      </c>
      <c r="L123">
        <f>K123*Calculations!Y123</f>
        <v>0</v>
      </c>
    </row>
    <row r="124" spans="1:12">
      <c r="A124" s="223">
        <v>457</v>
      </c>
      <c r="B124" s="232" t="s">
        <v>737</v>
      </c>
      <c r="C124" s="233">
        <v>27.66</v>
      </c>
      <c r="D124" s="235">
        <v>43596.52</v>
      </c>
      <c r="E124" s="227">
        <f t="shared" si="5"/>
        <v>1205879.74</v>
      </c>
      <c r="F124" s="216"/>
      <c r="G124" s="226">
        <f t="shared" si="6"/>
        <v>162</v>
      </c>
      <c r="H124" s="228">
        <f t="shared" si="7"/>
        <v>3.7297522799837552E-3</v>
      </c>
      <c r="I124" s="229"/>
      <c r="J124" s="230">
        <f t="shared" si="8"/>
        <v>2.0774720199509518E-3</v>
      </c>
      <c r="K124" s="230">
        <f t="shared" si="9"/>
        <v>2.0774720199509518E-3</v>
      </c>
      <c r="L124">
        <f>K124*Calculations!Y124</f>
        <v>2.4485951130830359</v>
      </c>
    </row>
    <row r="125" spans="1:12">
      <c r="A125" s="223">
        <v>458</v>
      </c>
      <c r="B125" s="232" t="s">
        <v>738</v>
      </c>
      <c r="C125" s="233">
        <v>15.29</v>
      </c>
      <c r="D125" s="235">
        <v>44865.14</v>
      </c>
      <c r="E125" s="227">
        <f t="shared" si="5"/>
        <v>685987.99</v>
      </c>
      <c r="F125" s="216"/>
      <c r="G125" s="226">
        <f t="shared" si="6"/>
        <v>1430.6200000000026</v>
      </c>
      <c r="H125" s="228">
        <f t="shared" si="7"/>
        <v>3.293739633821216E-2</v>
      </c>
      <c r="I125" s="229"/>
      <c r="J125" s="230">
        <f t="shared" si="8"/>
        <v>1.8346129760384175E-2</v>
      </c>
      <c r="K125" s="230">
        <f t="shared" si="9"/>
        <v>1.8346129760384175E-2</v>
      </c>
      <c r="L125">
        <f>K125*Calculations!Y125</f>
        <v>11.41729290183973</v>
      </c>
    </row>
    <row r="126" spans="1:12">
      <c r="A126" s="223">
        <v>460</v>
      </c>
      <c r="B126" s="232" t="s">
        <v>739</v>
      </c>
      <c r="C126" s="233">
        <v>23.66</v>
      </c>
      <c r="D126" s="235">
        <v>41670.910000000003</v>
      </c>
      <c r="E126" s="227">
        <f t="shared" si="5"/>
        <v>985933.73</v>
      </c>
      <c r="F126" s="216"/>
      <c r="G126" s="226">
        <f t="shared" si="6"/>
        <v>-1763.6099999999933</v>
      </c>
      <c r="H126" s="228">
        <f t="shared" si="7"/>
        <v>-4.060387912655633E-2</v>
      </c>
      <c r="I126" s="229"/>
      <c r="J126" s="230">
        <f t="shared" si="8"/>
        <v>0</v>
      </c>
      <c r="K126" s="230">
        <f t="shared" si="9"/>
        <v>0</v>
      </c>
      <c r="L126">
        <f>K126*Calculations!Y126</f>
        <v>0</v>
      </c>
    </row>
    <row r="127" spans="1:12">
      <c r="A127" s="223">
        <v>461</v>
      </c>
      <c r="B127" s="232" t="s">
        <v>740</v>
      </c>
      <c r="C127" s="233">
        <v>17.14</v>
      </c>
      <c r="D127" s="235">
        <v>43639.49</v>
      </c>
      <c r="E127" s="227">
        <f t="shared" si="5"/>
        <v>747980.86</v>
      </c>
      <c r="F127" s="216"/>
      <c r="G127" s="226">
        <f t="shared" si="6"/>
        <v>204.97000000000116</v>
      </c>
      <c r="H127" s="228">
        <f t="shared" si="7"/>
        <v>4.719057560668362E-3</v>
      </c>
      <c r="I127" s="229"/>
      <c r="J127" s="230">
        <f t="shared" si="8"/>
        <v>2.6285150612922778E-3</v>
      </c>
      <c r="K127" s="230">
        <f t="shared" si="9"/>
        <v>2.6285150612922778E-3</v>
      </c>
      <c r="L127">
        <f>K127*Calculations!Y127</f>
        <v>1.428854574464701</v>
      </c>
    </row>
    <row r="128" spans="1:12">
      <c r="A128" s="223">
        <v>462</v>
      </c>
      <c r="B128" s="232" t="s">
        <v>741</v>
      </c>
      <c r="C128" s="233">
        <v>32.42</v>
      </c>
      <c r="D128" s="235">
        <v>41500.29</v>
      </c>
      <c r="E128" s="227">
        <f t="shared" si="5"/>
        <v>1345439.4</v>
      </c>
      <c r="F128" s="216"/>
      <c r="G128" s="226">
        <f t="shared" si="6"/>
        <v>-1934.2299999999959</v>
      </c>
      <c r="H128" s="228">
        <f t="shared" si="7"/>
        <v>-4.4532091064894835E-2</v>
      </c>
      <c r="I128" s="229"/>
      <c r="J128" s="230">
        <f t="shared" si="8"/>
        <v>0</v>
      </c>
      <c r="K128" s="230">
        <f t="shared" si="9"/>
        <v>0</v>
      </c>
      <c r="L128">
        <f>K128*Calculations!Y128</f>
        <v>0</v>
      </c>
    </row>
    <row r="129" spans="1:12">
      <c r="A129" s="223">
        <v>463</v>
      </c>
      <c r="B129" s="232" t="s">
        <v>742</v>
      </c>
      <c r="C129" s="233">
        <v>25.98</v>
      </c>
      <c r="D129" s="235">
        <v>45756.82</v>
      </c>
      <c r="E129" s="227">
        <f t="shared" si="5"/>
        <v>1188762.18</v>
      </c>
      <c r="F129" s="216"/>
      <c r="G129" s="226">
        <f t="shared" si="6"/>
        <v>2322.3000000000029</v>
      </c>
      <c r="H129" s="228">
        <f t="shared" si="7"/>
        <v>5.3466689628433858E-2</v>
      </c>
      <c r="I129" s="229"/>
      <c r="J129" s="230">
        <f t="shared" si="8"/>
        <v>2.9780946123037663E-2</v>
      </c>
      <c r="K129" s="230">
        <f t="shared" si="9"/>
        <v>2.9780946123037663E-2</v>
      </c>
      <c r="L129">
        <f>K129*Calculations!Y129</f>
        <v>27.320483377661009</v>
      </c>
    </row>
    <row r="130" spans="1:12">
      <c r="A130" s="223">
        <v>464</v>
      </c>
      <c r="B130" s="232" t="s">
        <v>743</v>
      </c>
      <c r="C130" s="233">
        <v>20.239999999999998</v>
      </c>
      <c r="D130" s="235">
        <v>40701.1</v>
      </c>
      <c r="E130" s="227">
        <f t="shared" si="5"/>
        <v>823790.26</v>
      </c>
      <c r="F130" s="216"/>
      <c r="G130" s="226">
        <f t="shared" si="6"/>
        <v>-2733.4199999999983</v>
      </c>
      <c r="H130" s="228">
        <f t="shared" si="7"/>
        <v>-6.2931972081192528E-2</v>
      </c>
      <c r="I130" s="229"/>
      <c r="J130" s="230">
        <f t="shared" si="8"/>
        <v>0</v>
      </c>
      <c r="K130" s="230">
        <f t="shared" si="9"/>
        <v>0</v>
      </c>
      <c r="L130">
        <f>K130*Calculations!Y130</f>
        <v>0</v>
      </c>
    </row>
    <row r="131" spans="1:12">
      <c r="A131" s="223">
        <v>465</v>
      </c>
      <c r="B131" s="232" t="s">
        <v>744</v>
      </c>
      <c r="C131" s="233">
        <v>15.2</v>
      </c>
      <c r="D131" s="235">
        <v>38249.129999999997</v>
      </c>
      <c r="E131" s="227">
        <f t="shared" ref="E131:E175" si="10">ROUND(C131*D131,2)</f>
        <v>581386.78</v>
      </c>
      <c r="F131" s="216"/>
      <c r="G131" s="226">
        <f t="shared" ref="G131:G175" si="11">D131-$D$178</f>
        <v>-5185.3899999999994</v>
      </c>
      <c r="H131" s="228">
        <f t="shared" ref="H131:H175" si="12">MAX(G131/$D$178)</f>
        <v>-0.1193840751549689</v>
      </c>
      <c r="I131" s="229"/>
      <c r="J131" s="230">
        <f t="shared" ref="J131:J175" si="13">MAX(G131/$D$178,0)*0.557</f>
        <v>0</v>
      </c>
      <c r="K131" s="230">
        <f t="shared" ref="K131:K175" si="14">MIN(J131,$M$3)</f>
        <v>0</v>
      </c>
      <c r="L131">
        <f>K131*Calculations!Y131</f>
        <v>0</v>
      </c>
    </row>
    <row r="132" spans="1:12">
      <c r="A132" s="223">
        <v>466</v>
      </c>
      <c r="B132" s="232" t="s">
        <v>745</v>
      </c>
      <c r="C132" s="233">
        <v>13.4275</v>
      </c>
      <c r="D132" s="235">
        <v>43818.71</v>
      </c>
      <c r="E132" s="227">
        <f t="shared" si="10"/>
        <v>588375.73</v>
      </c>
      <c r="F132" s="216"/>
      <c r="G132" s="226">
        <f t="shared" si="11"/>
        <v>384.19000000000233</v>
      </c>
      <c r="H132" s="228">
        <f t="shared" si="12"/>
        <v>8.8452686941170831E-3</v>
      </c>
      <c r="I132" s="229"/>
      <c r="J132" s="230">
        <f t="shared" si="13"/>
        <v>4.9268146626232157E-3</v>
      </c>
      <c r="K132" s="230">
        <f t="shared" si="14"/>
        <v>4.9268146626232157E-3</v>
      </c>
      <c r="L132">
        <f>K132*Calculations!Y132</f>
        <v>3.7413170433357448</v>
      </c>
    </row>
    <row r="133" spans="1:12">
      <c r="A133" s="223">
        <v>468</v>
      </c>
      <c r="B133" s="232" t="s">
        <v>746</v>
      </c>
      <c r="C133" s="233">
        <v>17.77</v>
      </c>
      <c r="D133" s="235">
        <v>41002.230000000003</v>
      </c>
      <c r="E133" s="227">
        <f t="shared" si="10"/>
        <v>728609.63</v>
      </c>
      <c r="F133" s="216"/>
      <c r="G133" s="226">
        <f t="shared" si="11"/>
        <v>-2432.2899999999936</v>
      </c>
      <c r="H133" s="228">
        <f t="shared" si="12"/>
        <v>-5.599900724124484E-2</v>
      </c>
      <c r="I133" s="229"/>
      <c r="J133" s="230">
        <f t="shared" si="13"/>
        <v>0</v>
      </c>
      <c r="K133" s="230">
        <f t="shared" si="14"/>
        <v>0</v>
      </c>
      <c r="L133">
        <f>K133*Calculations!Y133</f>
        <v>0</v>
      </c>
    </row>
    <row r="134" spans="1:12">
      <c r="A134" s="223">
        <v>469</v>
      </c>
      <c r="B134" s="232" t="s">
        <v>747</v>
      </c>
      <c r="C134" s="233">
        <v>7.6088579387186597</v>
      </c>
      <c r="D134" s="235">
        <v>44760.160000000003</v>
      </c>
      <c r="E134" s="227">
        <f t="shared" si="10"/>
        <v>340573.7</v>
      </c>
      <c r="F134" s="216"/>
      <c r="G134" s="226">
        <f t="shared" si="11"/>
        <v>1325.6400000000067</v>
      </c>
      <c r="H134" s="228">
        <f t="shared" si="12"/>
        <v>3.0520424768133891E-2</v>
      </c>
      <c r="I134" s="229"/>
      <c r="J134" s="230">
        <f t="shared" si="13"/>
        <v>1.6999876595850578E-2</v>
      </c>
      <c r="K134" s="230">
        <f t="shared" si="14"/>
        <v>1.6999876595850578E-2</v>
      </c>
      <c r="L134">
        <f>K134*Calculations!Y134</f>
        <v>7.140260308394538</v>
      </c>
    </row>
    <row r="135" spans="1:12">
      <c r="A135" s="223">
        <v>470</v>
      </c>
      <c r="B135" s="232" t="s">
        <v>748</v>
      </c>
      <c r="C135" s="233">
        <v>6</v>
      </c>
      <c r="D135" s="235">
        <v>44717.17</v>
      </c>
      <c r="E135" s="227">
        <f t="shared" si="10"/>
        <v>268303.02</v>
      </c>
      <c r="F135" s="216"/>
      <c r="G135" s="226">
        <f t="shared" si="11"/>
        <v>1282.6500000000015</v>
      </c>
      <c r="H135" s="228">
        <f t="shared" si="12"/>
        <v>2.9530659024204747E-2</v>
      </c>
      <c r="I135" s="229"/>
      <c r="J135" s="230">
        <f t="shared" si="13"/>
        <v>1.6448577076482045E-2</v>
      </c>
      <c r="K135" s="230">
        <f t="shared" si="14"/>
        <v>1.6448577076482045E-2</v>
      </c>
      <c r="L135">
        <f>K135*Calculations!Y135</f>
        <v>8.429129945121927</v>
      </c>
    </row>
    <row r="136" spans="1:12">
      <c r="A136" s="223">
        <v>472</v>
      </c>
      <c r="B136" s="232" t="s">
        <v>749</v>
      </c>
      <c r="C136" s="233">
        <v>11.92</v>
      </c>
      <c r="D136" s="235">
        <v>38920.17</v>
      </c>
      <c r="E136" s="227">
        <f t="shared" si="10"/>
        <v>463928.43</v>
      </c>
      <c r="F136" s="216"/>
      <c r="G136" s="226">
        <f t="shared" si="11"/>
        <v>-4514.3499999999985</v>
      </c>
      <c r="H136" s="228">
        <f t="shared" si="12"/>
        <v>-0.10393461237743618</v>
      </c>
      <c r="I136" s="229"/>
      <c r="J136" s="230">
        <f t="shared" si="13"/>
        <v>0</v>
      </c>
      <c r="K136" s="230">
        <f t="shared" si="14"/>
        <v>0</v>
      </c>
      <c r="L136">
        <f>K136*Calculations!Y136</f>
        <v>0</v>
      </c>
    </row>
    <row r="137" spans="1:12">
      <c r="A137" s="223">
        <v>473</v>
      </c>
      <c r="B137" s="232" t="s">
        <v>750</v>
      </c>
      <c r="C137" s="233">
        <v>20.64</v>
      </c>
      <c r="D137" s="235">
        <v>37911.279999999999</v>
      </c>
      <c r="E137" s="227">
        <f t="shared" si="10"/>
        <v>782488.82</v>
      </c>
      <c r="F137" s="216"/>
      <c r="G137" s="226">
        <f t="shared" si="11"/>
        <v>-5523.239999999998</v>
      </c>
      <c r="H137" s="228">
        <f t="shared" si="12"/>
        <v>-0.12716245051171277</v>
      </c>
      <c r="I137" s="229"/>
      <c r="J137" s="230">
        <f t="shared" si="13"/>
        <v>0</v>
      </c>
      <c r="K137" s="230">
        <f t="shared" si="14"/>
        <v>0</v>
      </c>
      <c r="L137">
        <f>K137*Calculations!Y137</f>
        <v>0</v>
      </c>
    </row>
    <row r="138" spans="1:12">
      <c r="A138" s="223">
        <v>474</v>
      </c>
      <c r="B138" s="232" t="s">
        <v>751</v>
      </c>
      <c r="C138" s="233">
        <v>9</v>
      </c>
      <c r="D138" s="235">
        <v>39315.519999999997</v>
      </c>
      <c r="E138" s="227">
        <f t="shared" si="10"/>
        <v>353839.68</v>
      </c>
      <c r="F138" s="216"/>
      <c r="G138" s="226">
        <f t="shared" si="11"/>
        <v>-4119</v>
      </c>
      <c r="H138" s="228">
        <f t="shared" si="12"/>
        <v>-9.4832405192920299E-2</v>
      </c>
      <c r="I138" s="229"/>
      <c r="J138" s="230">
        <f t="shared" si="13"/>
        <v>0</v>
      </c>
      <c r="K138" s="230">
        <f t="shared" si="14"/>
        <v>0</v>
      </c>
      <c r="L138">
        <f>K138*Calculations!Y138</f>
        <v>0</v>
      </c>
    </row>
    <row r="139" spans="1:12">
      <c r="A139" s="223">
        <v>475</v>
      </c>
      <c r="B139" s="232" t="s">
        <v>752</v>
      </c>
      <c r="C139" s="233">
        <v>60.09</v>
      </c>
      <c r="D139" s="235">
        <v>40122.769999999997</v>
      </c>
      <c r="E139" s="227">
        <f t="shared" si="10"/>
        <v>2410977.25</v>
      </c>
      <c r="F139" s="216"/>
      <c r="G139" s="226">
        <f t="shared" si="11"/>
        <v>-3311.75</v>
      </c>
      <c r="H139" s="228">
        <f t="shared" si="12"/>
        <v>-7.6246957489112352E-2</v>
      </c>
      <c r="I139" s="229"/>
      <c r="J139" s="230">
        <f t="shared" si="13"/>
        <v>0</v>
      </c>
      <c r="K139" s="230">
        <f t="shared" si="14"/>
        <v>0</v>
      </c>
      <c r="L139">
        <f>K139*Calculations!Y139</f>
        <v>0</v>
      </c>
    </row>
    <row r="140" spans="1:12">
      <c r="A140" s="223">
        <v>476</v>
      </c>
      <c r="B140" s="232" t="s">
        <v>753</v>
      </c>
      <c r="C140" s="233">
        <v>26.66</v>
      </c>
      <c r="D140" s="235">
        <v>43946.48</v>
      </c>
      <c r="E140" s="227">
        <f t="shared" si="10"/>
        <v>1171613.1599999999</v>
      </c>
      <c r="F140" s="216"/>
      <c r="G140" s="226">
        <f t="shared" si="11"/>
        <v>511.9600000000064</v>
      </c>
      <c r="H140" s="228">
        <f t="shared" si="12"/>
        <v>1.1786938131237698E-2</v>
      </c>
      <c r="I140" s="229"/>
      <c r="J140" s="230">
        <f t="shared" si="13"/>
        <v>6.5653245390993988E-3</v>
      </c>
      <c r="K140" s="230">
        <f t="shared" si="14"/>
        <v>6.5653245390993988E-3</v>
      </c>
      <c r="L140">
        <f>K140*Calculations!Y140</f>
        <v>5.1386605561747354</v>
      </c>
    </row>
    <row r="141" spans="1:12">
      <c r="A141" s="223">
        <v>477</v>
      </c>
      <c r="B141" s="232" t="s">
        <v>754</v>
      </c>
      <c r="C141" s="233">
        <v>34</v>
      </c>
      <c r="D141" s="235">
        <v>38276.76</v>
      </c>
      <c r="E141" s="227">
        <f t="shared" si="10"/>
        <v>1301409.8400000001</v>
      </c>
      <c r="F141" s="216"/>
      <c r="G141" s="226">
        <f t="shared" si="11"/>
        <v>-5157.7599999999948</v>
      </c>
      <c r="H141" s="228">
        <f t="shared" si="12"/>
        <v>-0.11874794518277157</v>
      </c>
      <c r="I141" s="229"/>
      <c r="J141" s="230">
        <f t="shared" si="13"/>
        <v>0</v>
      </c>
      <c r="K141" s="230">
        <f t="shared" si="14"/>
        <v>0</v>
      </c>
      <c r="L141">
        <f>K141*Calculations!Y141</f>
        <v>0</v>
      </c>
    </row>
    <row r="142" spans="1:12">
      <c r="A142" s="223">
        <v>478</v>
      </c>
      <c r="B142" s="232" t="s">
        <v>755</v>
      </c>
      <c r="C142" s="233">
        <v>9.98</v>
      </c>
      <c r="D142" s="235">
        <v>42152.18</v>
      </c>
      <c r="E142" s="227">
        <f t="shared" si="10"/>
        <v>420678.76</v>
      </c>
      <c r="F142" s="216"/>
      <c r="G142" s="226">
        <f t="shared" si="11"/>
        <v>-1282.3399999999965</v>
      </c>
      <c r="H142" s="228">
        <f t="shared" si="12"/>
        <v>-2.9523521843915775E-2</v>
      </c>
      <c r="I142" s="229"/>
      <c r="J142" s="230">
        <f t="shared" si="13"/>
        <v>0</v>
      </c>
      <c r="K142" s="230">
        <f t="shared" si="14"/>
        <v>0</v>
      </c>
      <c r="L142">
        <f>K142*Calculations!Y142</f>
        <v>0</v>
      </c>
    </row>
    <row r="143" spans="1:12">
      <c r="A143" s="223">
        <v>479</v>
      </c>
      <c r="B143" s="232" t="s">
        <v>756</v>
      </c>
      <c r="C143" s="233">
        <v>11.3788235294118</v>
      </c>
      <c r="D143" s="235">
        <v>40545.660000000003</v>
      </c>
      <c r="E143" s="227">
        <f t="shared" si="10"/>
        <v>461361.91</v>
      </c>
      <c r="F143" s="216"/>
      <c r="G143" s="226">
        <f t="shared" si="11"/>
        <v>-2888.8599999999933</v>
      </c>
      <c r="H143" s="228">
        <f t="shared" si="12"/>
        <v>-6.6510692416999043E-2</v>
      </c>
      <c r="I143" s="229"/>
      <c r="J143" s="230">
        <f t="shared" si="13"/>
        <v>0</v>
      </c>
      <c r="K143" s="230">
        <f t="shared" si="14"/>
        <v>0</v>
      </c>
      <c r="L143">
        <f>K143*Calculations!Y143</f>
        <v>0</v>
      </c>
    </row>
    <row r="144" spans="1:12">
      <c r="A144" s="223">
        <v>480</v>
      </c>
      <c r="B144" s="232" t="s">
        <v>757</v>
      </c>
      <c r="C144" s="233">
        <v>22.18</v>
      </c>
      <c r="D144" s="235">
        <v>40482.230000000003</v>
      </c>
      <c r="E144" s="227">
        <f t="shared" si="10"/>
        <v>897895.86</v>
      </c>
      <c r="F144" s="216"/>
      <c r="G144" s="226">
        <f t="shared" si="11"/>
        <v>-2952.2899999999936</v>
      </c>
      <c r="H144" s="228">
        <f t="shared" si="12"/>
        <v>-6.7971051596748253E-2</v>
      </c>
      <c r="I144" s="229"/>
      <c r="J144" s="230">
        <f t="shared" si="13"/>
        <v>0</v>
      </c>
      <c r="K144" s="230">
        <f t="shared" si="14"/>
        <v>0</v>
      </c>
      <c r="L144">
        <f>K144*Calculations!Y144</f>
        <v>0</v>
      </c>
    </row>
    <row r="145" spans="1:12">
      <c r="A145" s="223">
        <v>481</v>
      </c>
      <c r="B145" s="232" t="s">
        <v>758</v>
      </c>
      <c r="C145" s="233">
        <v>20.9</v>
      </c>
      <c r="D145" s="235">
        <v>41380.68</v>
      </c>
      <c r="E145" s="227">
        <f t="shared" si="10"/>
        <v>864856.21</v>
      </c>
      <c r="F145" s="216"/>
      <c r="G145" s="226">
        <f t="shared" si="11"/>
        <v>-2053.8399999999965</v>
      </c>
      <c r="H145" s="228">
        <f t="shared" si="12"/>
        <v>-4.7285891498282856E-2</v>
      </c>
      <c r="I145" s="229"/>
      <c r="J145" s="230">
        <f t="shared" si="13"/>
        <v>0</v>
      </c>
      <c r="K145" s="230">
        <f t="shared" si="14"/>
        <v>0</v>
      </c>
      <c r="L145">
        <f>K145*Calculations!Y145</f>
        <v>0</v>
      </c>
    </row>
    <row r="146" spans="1:12">
      <c r="A146" s="223">
        <v>482</v>
      </c>
      <c r="B146" s="232" t="s">
        <v>759</v>
      </c>
      <c r="C146" s="233">
        <v>15.417</v>
      </c>
      <c r="D146" s="235">
        <v>39590.28</v>
      </c>
      <c r="E146" s="227">
        <f t="shared" si="10"/>
        <v>610363.35</v>
      </c>
      <c r="F146" s="216"/>
      <c r="G146" s="226">
        <f t="shared" si="11"/>
        <v>-3844.239999999998</v>
      </c>
      <c r="H146" s="228">
        <f t="shared" si="12"/>
        <v>-8.8506561140770018E-2</v>
      </c>
      <c r="I146" s="229"/>
      <c r="J146" s="230">
        <f t="shared" si="13"/>
        <v>0</v>
      </c>
      <c r="K146" s="230">
        <f t="shared" si="14"/>
        <v>0</v>
      </c>
      <c r="L146">
        <f>K146*Calculations!Y146</f>
        <v>0</v>
      </c>
    </row>
    <row r="147" spans="1:12">
      <c r="A147" s="223">
        <v>483</v>
      </c>
      <c r="B147" s="232" t="s">
        <v>760</v>
      </c>
      <c r="C147" s="233">
        <v>6.8620000000000001</v>
      </c>
      <c r="D147" s="235">
        <v>42603.38</v>
      </c>
      <c r="E147" s="227">
        <f t="shared" si="10"/>
        <v>292344.39</v>
      </c>
      <c r="F147" s="216"/>
      <c r="G147" s="226">
        <f t="shared" si="11"/>
        <v>-831.13999999999942</v>
      </c>
      <c r="H147" s="228">
        <f t="shared" si="12"/>
        <v>-1.913547104929442E-2</v>
      </c>
      <c r="I147" s="229"/>
      <c r="J147" s="230">
        <f t="shared" si="13"/>
        <v>0</v>
      </c>
      <c r="K147" s="230">
        <f t="shared" si="14"/>
        <v>0</v>
      </c>
      <c r="L147">
        <f>K147*Calculations!Y147</f>
        <v>0</v>
      </c>
    </row>
    <row r="148" spans="1:12">
      <c r="A148" s="223">
        <v>485</v>
      </c>
      <c r="B148" s="232" t="s">
        <v>761</v>
      </c>
      <c r="C148" s="233">
        <v>9.35</v>
      </c>
      <c r="D148" s="235">
        <v>39147.17</v>
      </c>
      <c r="E148" s="227">
        <f t="shared" si="10"/>
        <v>366026.04</v>
      </c>
      <c r="F148" s="216"/>
      <c r="G148" s="226">
        <f t="shared" si="11"/>
        <v>-4287.3499999999985</v>
      </c>
      <c r="H148" s="228">
        <f t="shared" si="12"/>
        <v>-9.8708354553014493E-2</v>
      </c>
      <c r="I148" s="229"/>
      <c r="J148" s="230">
        <f t="shared" si="13"/>
        <v>0</v>
      </c>
      <c r="K148" s="230">
        <f t="shared" si="14"/>
        <v>0</v>
      </c>
      <c r="L148">
        <f>K148*Calculations!Y148</f>
        <v>0</v>
      </c>
    </row>
    <row r="149" spans="1:12">
      <c r="A149" s="223">
        <v>486</v>
      </c>
      <c r="B149" s="232" t="s">
        <v>762</v>
      </c>
      <c r="C149" s="233">
        <v>9.4349098196392802</v>
      </c>
      <c r="D149" s="235">
        <v>45537.66</v>
      </c>
      <c r="E149" s="227">
        <f t="shared" si="10"/>
        <v>429643.72</v>
      </c>
      <c r="F149" s="216"/>
      <c r="G149" s="226">
        <f t="shared" si="11"/>
        <v>2103.1400000000067</v>
      </c>
      <c r="H149" s="228">
        <f t="shared" si="12"/>
        <v>4.8420933395833705E-2</v>
      </c>
      <c r="I149" s="229"/>
      <c r="J149" s="230">
        <f t="shared" si="13"/>
        <v>2.6970459901479376E-2</v>
      </c>
      <c r="K149" s="230">
        <f t="shared" si="14"/>
        <v>2.6970459901479376E-2</v>
      </c>
      <c r="L149">
        <f>K149*Calculations!Y149</f>
        <v>4.7451711401149144</v>
      </c>
    </row>
    <row r="150" spans="1:12">
      <c r="A150" s="223">
        <v>487</v>
      </c>
      <c r="B150" s="232" t="s">
        <v>763</v>
      </c>
      <c r="C150" s="233">
        <v>22.514347020816501</v>
      </c>
      <c r="D150" s="235">
        <v>42239.11</v>
      </c>
      <c r="E150" s="227">
        <f t="shared" si="10"/>
        <v>950985.98</v>
      </c>
      <c r="F150" s="216"/>
      <c r="G150" s="226">
        <f t="shared" si="11"/>
        <v>-1195.4099999999962</v>
      </c>
      <c r="H150" s="228">
        <f t="shared" si="12"/>
        <v>-2.7522118351946706E-2</v>
      </c>
      <c r="I150" s="229"/>
      <c r="J150" s="230">
        <f t="shared" si="13"/>
        <v>0</v>
      </c>
      <c r="K150" s="230">
        <f t="shared" si="14"/>
        <v>0</v>
      </c>
      <c r="L150">
        <f>K150*Calculations!Y150</f>
        <v>0</v>
      </c>
    </row>
    <row r="151" spans="1:12">
      <c r="A151" s="223">
        <v>488</v>
      </c>
      <c r="B151" s="232" t="s">
        <v>764</v>
      </c>
      <c r="C151" s="233">
        <v>8.4</v>
      </c>
      <c r="D151" s="235">
        <v>41088.43</v>
      </c>
      <c r="E151" s="227">
        <f t="shared" si="10"/>
        <v>345142.81</v>
      </c>
      <c r="F151" s="216"/>
      <c r="G151" s="226">
        <f t="shared" si="11"/>
        <v>-2346.0899999999965</v>
      </c>
      <c r="H151" s="228">
        <f t="shared" si="12"/>
        <v>-5.4014410657697992E-2</v>
      </c>
      <c r="I151" s="229"/>
      <c r="J151" s="230">
        <f t="shared" si="13"/>
        <v>0</v>
      </c>
      <c r="K151" s="230">
        <f t="shared" si="14"/>
        <v>0</v>
      </c>
      <c r="L151">
        <f>K151*Calculations!Y151</f>
        <v>0</v>
      </c>
    </row>
    <row r="152" spans="1:12">
      <c r="A152" s="223">
        <v>489</v>
      </c>
      <c r="B152" s="232" t="s">
        <v>765</v>
      </c>
      <c r="C152" s="233">
        <v>5.98</v>
      </c>
      <c r="D152" s="235">
        <v>43011.6</v>
      </c>
      <c r="E152" s="227">
        <f t="shared" si="10"/>
        <v>257209.37</v>
      </c>
      <c r="F152" s="216"/>
      <c r="G152" s="226">
        <f t="shared" si="11"/>
        <v>-422.91999999999825</v>
      </c>
      <c r="H152" s="228">
        <f t="shared" si="12"/>
        <v>-9.7369557669797734E-3</v>
      </c>
      <c r="I152" s="229"/>
      <c r="J152" s="230">
        <f t="shared" si="13"/>
        <v>0</v>
      </c>
      <c r="K152" s="230">
        <f t="shared" si="14"/>
        <v>0</v>
      </c>
      <c r="L152">
        <f>K152*Calculations!Y152</f>
        <v>0</v>
      </c>
    </row>
    <row r="153" spans="1:12">
      <c r="A153" s="223">
        <v>490</v>
      </c>
      <c r="B153" s="232" t="s">
        <v>766</v>
      </c>
      <c r="C153" s="233">
        <v>11.9</v>
      </c>
      <c r="D153" s="235">
        <v>43545.41</v>
      </c>
      <c r="E153" s="227">
        <f t="shared" si="10"/>
        <v>518190.38</v>
      </c>
      <c r="F153" s="216"/>
      <c r="G153" s="226">
        <f t="shared" si="11"/>
        <v>110.89000000000669</v>
      </c>
      <c r="H153" s="228">
        <f t="shared" si="12"/>
        <v>2.5530384588112564E-3</v>
      </c>
      <c r="I153" s="229"/>
      <c r="J153" s="230">
        <f t="shared" si="13"/>
        <v>1.4220424215578699E-3</v>
      </c>
      <c r="K153" s="230">
        <f t="shared" si="14"/>
        <v>1.4220424215578699E-3</v>
      </c>
      <c r="L153">
        <f>K153*Calculations!Y153</f>
        <v>1.0173115868488398</v>
      </c>
    </row>
    <row r="154" spans="1:12">
      <c r="A154" s="223">
        <v>491</v>
      </c>
      <c r="B154" s="232" t="s">
        <v>767</v>
      </c>
      <c r="C154" s="233">
        <v>34.85</v>
      </c>
      <c r="D154" s="235">
        <v>45072.79</v>
      </c>
      <c r="E154" s="227">
        <f t="shared" si="10"/>
        <v>1570786.73</v>
      </c>
      <c r="F154" s="216"/>
      <c r="G154" s="226">
        <f t="shared" si="11"/>
        <v>1638.2700000000041</v>
      </c>
      <c r="H154" s="228">
        <f t="shared" si="12"/>
        <v>3.7718155973635814E-2</v>
      </c>
      <c r="I154" s="229"/>
      <c r="J154" s="230">
        <f t="shared" si="13"/>
        <v>2.1009012877315152E-2</v>
      </c>
      <c r="K154" s="230">
        <f t="shared" si="14"/>
        <v>2.1009012877315152E-2</v>
      </c>
      <c r="L154">
        <f>K154*Calculations!Y154</f>
        <v>19.104100949684049</v>
      </c>
    </row>
    <row r="155" spans="1:12">
      <c r="A155" s="236">
        <v>492</v>
      </c>
      <c r="B155" s="232" t="s">
        <v>768</v>
      </c>
      <c r="C155" s="233">
        <v>21.07</v>
      </c>
      <c r="D155" s="235">
        <v>42379.040000000001</v>
      </c>
      <c r="E155" s="227">
        <f t="shared" si="10"/>
        <v>892926.37</v>
      </c>
      <c r="F155" s="216"/>
      <c r="G155" s="226">
        <f t="shared" si="11"/>
        <v>-1055.4799999999959</v>
      </c>
      <c r="H155" s="228">
        <f t="shared" si="12"/>
        <v>-2.4300487262205177E-2</v>
      </c>
      <c r="I155" s="229"/>
      <c r="J155" s="230">
        <f t="shared" si="13"/>
        <v>0</v>
      </c>
      <c r="K155" s="230">
        <f t="shared" si="14"/>
        <v>0</v>
      </c>
      <c r="L155">
        <f>K155*Calculations!Y155</f>
        <v>0</v>
      </c>
    </row>
    <row r="156" spans="1:12">
      <c r="A156" s="223">
        <v>493</v>
      </c>
      <c r="B156" s="232" t="s">
        <v>769</v>
      </c>
      <c r="C156" s="233">
        <v>45.08</v>
      </c>
      <c r="D156" s="235">
        <v>44632.21</v>
      </c>
      <c r="E156" s="227">
        <f t="shared" si="10"/>
        <v>2012020.03</v>
      </c>
      <c r="F156" s="216"/>
      <c r="G156" s="226">
        <f t="shared" si="11"/>
        <v>1197.6900000000023</v>
      </c>
      <c r="H156" s="228">
        <f t="shared" si="12"/>
        <v>2.7574611161813287E-2</v>
      </c>
      <c r="I156" s="229"/>
      <c r="J156" s="230">
        <f t="shared" si="13"/>
        <v>1.5359058417130002E-2</v>
      </c>
      <c r="K156" s="230">
        <f t="shared" si="14"/>
        <v>1.5359058417130002E-2</v>
      </c>
      <c r="L156">
        <f>K156*Calculations!Y156</f>
        <v>18.125484496217453</v>
      </c>
    </row>
    <row r="157" spans="1:12">
      <c r="A157" s="236">
        <v>494</v>
      </c>
      <c r="B157" s="232" t="s">
        <v>770</v>
      </c>
      <c r="C157" s="233">
        <v>14</v>
      </c>
      <c r="D157" s="235">
        <v>42704.5</v>
      </c>
      <c r="E157" s="227">
        <f t="shared" si="10"/>
        <v>597863</v>
      </c>
      <c r="F157" s="216"/>
      <c r="G157" s="226">
        <f t="shared" si="11"/>
        <v>-730.0199999999968</v>
      </c>
      <c r="H157" s="228">
        <f t="shared" si="12"/>
        <v>-1.680736888539339E-2</v>
      </c>
      <c r="I157" s="229"/>
      <c r="J157" s="230">
        <f t="shared" si="13"/>
        <v>0</v>
      </c>
      <c r="K157" s="230">
        <f t="shared" si="14"/>
        <v>0</v>
      </c>
      <c r="L157">
        <f>K157*Calculations!Y157</f>
        <v>0</v>
      </c>
    </row>
    <row r="158" spans="1:12">
      <c r="A158" s="236">
        <v>495</v>
      </c>
      <c r="B158" s="232" t="s">
        <v>771</v>
      </c>
      <c r="C158" s="233">
        <v>19</v>
      </c>
      <c r="D158" s="235">
        <v>37628.629999999997</v>
      </c>
      <c r="E158" s="227">
        <f t="shared" si="10"/>
        <v>714943.97</v>
      </c>
      <c r="F158" s="216"/>
      <c r="G158" s="226">
        <f t="shared" si="11"/>
        <v>-5805.8899999999994</v>
      </c>
      <c r="H158" s="228">
        <f t="shared" si="12"/>
        <v>-0.13366994731379556</v>
      </c>
      <c r="I158" s="229"/>
      <c r="J158" s="230">
        <f t="shared" si="13"/>
        <v>0</v>
      </c>
      <c r="K158" s="230">
        <f t="shared" si="14"/>
        <v>0</v>
      </c>
      <c r="L158">
        <f>K158*Calculations!Y158</f>
        <v>0</v>
      </c>
    </row>
    <row r="159" spans="1:12">
      <c r="A159" s="236">
        <v>496</v>
      </c>
      <c r="B159" s="232" t="s">
        <v>772</v>
      </c>
      <c r="C159" s="233">
        <v>6.35</v>
      </c>
      <c r="D159" s="235">
        <v>37897.07</v>
      </c>
      <c r="E159" s="227">
        <f t="shared" si="10"/>
        <v>240646.39</v>
      </c>
      <c r="F159" s="216"/>
      <c r="G159" s="226">
        <f t="shared" si="11"/>
        <v>-5537.4499999999971</v>
      </c>
      <c r="H159" s="228">
        <f t="shared" si="12"/>
        <v>-0.1274896096468891</v>
      </c>
      <c r="I159" s="229"/>
      <c r="J159" s="230">
        <f t="shared" si="13"/>
        <v>0</v>
      </c>
      <c r="K159" s="230">
        <f t="shared" si="14"/>
        <v>0</v>
      </c>
      <c r="L159">
        <f>K159*Calculations!Y159</f>
        <v>0</v>
      </c>
    </row>
    <row r="160" spans="1:12">
      <c r="A160" s="236">
        <v>497</v>
      </c>
      <c r="B160" s="232" t="s">
        <v>773</v>
      </c>
      <c r="C160" s="233">
        <v>5</v>
      </c>
      <c r="D160" s="235">
        <v>40105</v>
      </c>
      <c r="E160" s="227">
        <f t="shared" si="10"/>
        <v>200525</v>
      </c>
      <c r="F160" s="216"/>
      <c r="G160" s="226">
        <f t="shared" si="11"/>
        <v>-3329.5199999999968</v>
      </c>
      <c r="H160" s="228">
        <f t="shared" si="12"/>
        <v>-7.6656079081799389E-2</v>
      </c>
      <c r="I160" s="229"/>
      <c r="J160" s="230">
        <f t="shared" si="13"/>
        <v>0</v>
      </c>
      <c r="K160" s="230">
        <f t="shared" si="14"/>
        <v>0</v>
      </c>
      <c r="L160">
        <f>K160*Calculations!Y160</f>
        <v>0</v>
      </c>
    </row>
    <row r="161" spans="1:12">
      <c r="A161" s="236">
        <v>498</v>
      </c>
      <c r="B161" s="232" t="s">
        <v>774</v>
      </c>
      <c r="C161" s="233">
        <v>1</v>
      </c>
      <c r="D161" s="235">
        <v>43434.52</v>
      </c>
      <c r="E161" s="227">
        <f t="shared" si="10"/>
        <v>43434.52</v>
      </c>
      <c r="F161" s="216"/>
      <c r="G161" s="226">
        <f t="shared" si="11"/>
        <v>0</v>
      </c>
      <c r="H161" s="228">
        <f t="shared" si="12"/>
        <v>0</v>
      </c>
      <c r="I161" s="229"/>
      <c r="J161" s="230">
        <f t="shared" si="13"/>
        <v>0</v>
      </c>
      <c r="K161" s="230">
        <f t="shared" si="14"/>
        <v>0</v>
      </c>
      <c r="L161">
        <f>K161*Calculations!Y161</f>
        <v>0</v>
      </c>
    </row>
    <row r="162" spans="1:12">
      <c r="A162" s="236">
        <v>499</v>
      </c>
      <c r="B162" s="232" t="s">
        <v>775</v>
      </c>
      <c r="C162" s="233">
        <v>1</v>
      </c>
      <c r="D162" s="235">
        <v>43434.52</v>
      </c>
      <c r="E162" s="227">
        <f t="shared" si="10"/>
        <v>43434.52</v>
      </c>
      <c r="F162" s="216"/>
      <c r="G162" s="226">
        <f t="shared" si="11"/>
        <v>0</v>
      </c>
      <c r="H162" s="228">
        <f t="shared" si="12"/>
        <v>0</v>
      </c>
      <c r="I162" s="229"/>
      <c r="J162" s="230">
        <f t="shared" si="13"/>
        <v>0</v>
      </c>
      <c r="K162" s="230">
        <f t="shared" si="14"/>
        <v>0</v>
      </c>
      <c r="L162">
        <f>K162*Calculations!Y162</f>
        <v>0</v>
      </c>
    </row>
    <row r="163" spans="1:12">
      <c r="A163" s="236">
        <v>511</v>
      </c>
      <c r="B163" s="232" t="s">
        <v>776</v>
      </c>
      <c r="C163" s="233">
        <v>1</v>
      </c>
      <c r="D163" s="235">
        <v>43434.52</v>
      </c>
      <c r="E163" s="227">
        <f t="shared" si="10"/>
        <v>43434.52</v>
      </c>
      <c r="F163" s="216"/>
      <c r="G163" s="226">
        <f t="shared" si="11"/>
        <v>0</v>
      </c>
      <c r="H163" s="228">
        <f t="shared" si="12"/>
        <v>0</v>
      </c>
      <c r="I163" s="229"/>
      <c r="J163" s="230">
        <f t="shared" si="13"/>
        <v>0</v>
      </c>
      <c r="K163" s="230">
        <f t="shared" si="14"/>
        <v>0</v>
      </c>
      <c r="L163">
        <f>K163*Calculations!Y163</f>
        <v>0</v>
      </c>
    </row>
    <row r="164" spans="1:12">
      <c r="A164" s="236">
        <v>513</v>
      </c>
      <c r="B164" s="232" t="s">
        <v>777</v>
      </c>
      <c r="C164" s="233">
        <v>1</v>
      </c>
      <c r="D164" s="235">
        <v>43434.52</v>
      </c>
      <c r="E164" s="227">
        <f t="shared" si="10"/>
        <v>43434.52</v>
      </c>
      <c r="F164" s="216"/>
      <c r="G164" s="226">
        <f t="shared" si="11"/>
        <v>0</v>
      </c>
      <c r="H164" s="228">
        <f t="shared" si="12"/>
        <v>0</v>
      </c>
      <c r="I164" s="229"/>
      <c r="J164" s="230">
        <f t="shared" si="13"/>
        <v>0</v>
      </c>
      <c r="K164" s="230">
        <f t="shared" si="14"/>
        <v>0</v>
      </c>
      <c r="L164">
        <f>K164*Calculations!Y164</f>
        <v>0</v>
      </c>
    </row>
    <row r="165" spans="1:12">
      <c r="A165" s="236">
        <v>518</v>
      </c>
      <c r="B165" s="232" t="s">
        <v>778</v>
      </c>
      <c r="C165" s="233">
        <v>1</v>
      </c>
      <c r="D165" s="235">
        <v>43434.52</v>
      </c>
      <c r="E165" s="227">
        <f t="shared" si="10"/>
        <v>43434.52</v>
      </c>
      <c r="F165" s="216"/>
      <c r="G165" s="226">
        <f t="shared" si="11"/>
        <v>0</v>
      </c>
      <c r="H165" s="228">
        <f t="shared" si="12"/>
        <v>0</v>
      </c>
      <c r="I165" s="229"/>
      <c r="J165" s="230">
        <f t="shared" si="13"/>
        <v>0</v>
      </c>
      <c r="K165" s="230">
        <f t="shared" si="14"/>
        <v>0</v>
      </c>
      <c r="L165">
        <f>K165*Calculations!Y165</f>
        <v>0</v>
      </c>
    </row>
    <row r="166" spans="1:12">
      <c r="A166" s="223">
        <v>555</v>
      </c>
      <c r="B166" s="232" t="s">
        <v>779</v>
      </c>
      <c r="C166" s="225">
        <v>10.45</v>
      </c>
      <c r="D166" s="226">
        <v>41734.980000000003</v>
      </c>
      <c r="E166" s="227">
        <f t="shared" si="10"/>
        <v>436130.54</v>
      </c>
      <c r="F166" s="216"/>
      <c r="G166" s="226">
        <f t="shared" si="11"/>
        <v>-1699.5399999999936</v>
      </c>
      <c r="H166" s="228">
        <f t="shared" si="12"/>
        <v>-3.9128785122984983E-2</v>
      </c>
      <c r="I166" s="229"/>
      <c r="J166" s="230">
        <f t="shared" si="13"/>
        <v>0</v>
      </c>
      <c r="K166" s="230">
        <f t="shared" si="14"/>
        <v>0</v>
      </c>
      <c r="L166">
        <f>K166*Calculations!Y166</f>
        <v>0</v>
      </c>
    </row>
    <row r="167" spans="1:12">
      <c r="A167" s="236">
        <v>559</v>
      </c>
      <c r="B167" s="232" t="s">
        <v>780</v>
      </c>
      <c r="C167" s="233">
        <v>20.292000000000002</v>
      </c>
      <c r="D167" s="235">
        <v>47673.99</v>
      </c>
      <c r="E167" s="227">
        <f t="shared" si="10"/>
        <v>967400.61</v>
      </c>
      <c r="F167" s="216"/>
      <c r="G167" s="226">
        <f t="shared" si="11"/>
        <v>4239.4700000000012</v>
      </c>
      <c r="H167" s="228">
        <f t="shared" si="12"/>
        <v>9.7606005545819344E-2</v>
      </c>
      <c r="I167" s="229"/>
      <c r="J167" s="230">
        <f t="shared" si="13"/>
        <v>5.4366545089021383E-2</v>
      </c>
      <c r="K167" s="230">
        <f t="shared" si="14"/>
        <v>0.05</v>
      </c>
      <c r="L167">
        <f>K167*Calculations!Y167</f>
        <v>29.182357479073115</v>
      </c>
    </row>
    <row r="168" spans="1:12">
      <c r="A168" s="236">
        <v>751</v>
      </c>
      <c r="B168" s="232" t="s">
        <v>781</v>
      </c>
      <c r="C168" s="233">
        <v>12.46</v>
      </c>
      <c r="D168" s="235">
        <v>42471.83</v>
      </c>
      <c r="E168" s="227">
        <f t="shared" si="10"/>
        <v>529199</v>
      </c>
      <c r="F168" s="216"/>
      <c r="G168" s="226">
        <f t="shared" si="11"/>
        <v>-962.68999999999505</v>
      </c>
      <c r="H168" s="228">
        <f t="shared" si="12"/>
        <v>-2.2164168039614462E-2</v>
      </c>
      <c r="I168" s="229"/>
      <c r="J168" s="230">
        <f t="shared" si="13"/>
        <v>0</v>
      </c>
      <c r="K168" s="230">
        <f t="shared" si="14"/>
        <v>0</v>
      </c>
      <c r="L168">
        <f>K168*Calculations!Y168</f>
        <v>0</v>
      </c>
    </row>
    <row r="169" spans="1:12">
      <c r="A169" s="236">
        <v>768</v>
      </c>
      <c r="B169" s="232" t="s">
        <v>782</v>
      </c>
      <c r="C169" s="233">
        <v>14</v>
      </c>
      <c r="D169" s="235">
        <v>46851.43</v>
      </c>
      <c r="E169" s="227">
        <f t="shared" si="10"/>
        <v>655920.02</v>
      </c>
      <c r="F169" s="216"/>
      <c r="G169" s="226">
        <f t="shared" si="11"/>
        <v>3416.9100000000035</v>
      </c>
      <c r="H169" s="228">
        <f t="shared" si="12"/>
        <v>7.866807322839077E-2</v>
      </c>
      <c r="I169" s="229"/>
      <c r="J169" s="230">
        <f t="shared" si="13"/>
        <v>4.3818116788213665E-2</v>
      </c>
      <c r="K169" s="230">
        <f t="shared" si="14"/>
        <v>4.3818116788213665E-2</v>
      </c>
      <c r="L169">
        <f>K169*Calculations!Y169</f>
        <v>16.076218843661039</v>
      </c>
    </row>
    <row r="170" spans="1:12">
      <c r="A170" s="236">
        <v>785</v>
      </c>
      <c r="B170" s="232" t="s">
        <v>783</v>
      </c>
      <c r="C170" s="233">
        <v>14</v>
      </c>
      <c r="D170" s="235">
        <v>46152.86</v>
      </c>
      <c r="E170" s="227">
        <f t="shared" si="10"/>
        <v>646140.04</v>
      </c>
      <c r="F170" s="216"/>
      <c r="G170" s="226">
        <f t="shared" si="11"/>
        <v>2718.3400000000038</v>
      </c>
      <c r="H170" s="228">
        <f t="shared" si="12"/>
        <v>6.2584782794883054E-2</v>
      </c>
      <c r="I170" s="229"/>
      <c r="J170" s="230">
        <f t="shared" si="13"/>
        <v>3.4859724016749867E-2</v>
      </c>
      <c r="K170" s="230">
        <f t="shared" si="14"/>
        <v>3.4859724016749867E-2</v>
      </c>
      <c r="L170">
        <f>K170*Calculations!Y170</f>
        <v>12.536925012903703</v>
      </c>
    </row>
    <row r="171" spans="1:12">
      <c r="A171" s="223">
        <v>790</v>
      </c>
      <c r="B171" s="232" t="s">
        <v>784</v>
      </c>
      <c r="C171" s="233">
        <v>17.3</v>
      </c>
      <c r="D171" s="235">
        <v>42471.83</v>
      </c>
      <c r="E171" s="227">
        <f t="shared" si="10"/>
        <v>734762.66</v>
      </c>
      <c r="F171" s="216"/>
      <c r="G171" s="226">
        <f t="shared" si="11"/>
        <v>-962.68999999999505</v>
      </c>
      <c r="H171" s="228">
        <f t="shared" si="12"/>
        <v>-2.2164168039614462E-2</v>
      </c>
      <c r="I171" s="229"/>
      <c r="J171" s="230">
        <f t="shared" si="13"/>
        <v>0</v>
      </c>
      <c r="K171" s="230">
        <f t="shared" si="14"/>
        <v>0</v>
      </c>
      <c r="L171">
        <f>K171*Calculations!Y171</f>
        <v>0</v>
      </c>
    </row>
    <row r="172" spans="1:12">
      <c r="A172" s="236">
        <v>794</v>
      </c>
      <c r="B172" s="232" t="s">
        <v>785</v>
      </c>
      <c r="C172" s="233">
        <v>9.8000000000000007</v>
      </c>
      <c r="D172" s="235">
        <v>46115.8</v>
      </c>
      <c r="E172" s="227">
        <f t="shared" si="10"/>
        <v>451934.84</v>
      </c>
      <c r="F172" s="216"/>
      <c r="G172" s="226">
        <f t="shared" si="11"/>
        <v>2681.2800000000061</v>
      </c>
      <c r="H172" s="228">
        <f t="shared" si="12"/>
        <v>6.1731544402931271E-2</v>
      </c>
      <c r="I172" s="229"/>
      <c r="J172" s="230">
        <f t="shared" si="13"/>
        <v>3.4384470232432719E-2</v>
      </c>
      <c r="K172" s="230">
        <f t="shared" si="14"/>
        <v>3.4384470232432719E-2</v>
      </c>
      <c r="L172">
        <f>K172*Calculations!Y172</f>
        <v>12.39307335560687</v>
      </c>
    </row>
    <row r="173" spans="1:12">
      <c r="A173" s="236">
        <v>795</v>
      </c>
      <c r="B173" s="232" t="s">
        <v>786</v>
      </c>
      <c r="C173" s="233">
        <v>52</v>
      </c>
      <c r="D173" s="235">
        <v>42958.879999999997</v>
      </c>
      <c r="E173" s="227">
        <f t="shared" si="10"/>
        <v>2233861.7599999998</v>
      </c>
      <c r="F173" s="216"/>
      <c r="G173" s="226">
        <f t="shared" si="11"/>
        <v>-475.63999999999942</v>
      </c>
      <c r="H173" s="228">
        <f t="shared" si="12"/>
        <v>-1.0950736879330068E-2</v>
      </c>
      <c r="I173" s="229"/>
      <c r="J173" s="230">
        <f t="shared" si="13"/>
        <v>0</v>
      </c>
      <c r="K173" s="230">
        <f t="shared" si="14"/>
        <v>0</v>
      </c>
      <c r="L173">
        <f>K173*Calculations!Y173</f>
        <v>0</v>
      </c>
    </row>
    <row r="174" spans="1:12">
      <c r="A174" s="236">
        <v>796</v>
      </c>
      <c r="B174" s="232" t="s">
        <v>787</v>
      </c>
      <c r="C174" s="233">
        <v>12</v>
      </c>
      <c r="D174" s="235">
        <v>39844</v>
      </c>
      <c r="E174" s="227">
        <f t="shared" si="10"/>
        <v>478128</v>
      </c>
      <c r="F174" s="216"/>
      <c r="G174" s="226">
        <f t="shared" si="11"/>
        <v>-3590.5199999999968</v>
      </c>
      <c r="H174" s="228">
        <f t="shared" si="12"/>
        <v>-8.266512442177322E-2</v>
      </c>
      <c r="I174" s="229"/>
      <c r="J174" s="230">
        <f t="shared" si="13"/>
        <v>0</v>
      </c>
      <c r="K174" s="230">
        <f t="shared" si="14"/>
        <v>0</v>
      </c>
      <c r="L174">
        <f>K174*Calculations!Y174</f>
        <v>0</v>
      </c>
    </row>
    <row r="175" spans="1:12">
      <c r="A175" s="236">
        <v>813</v>
      </c>
      <c r="B175" s="232" t="s">
        <v>788</v>
      </c>
      <c r="C175" s="233">
        <v>10.48</v>
      </c>
      <c r="D175" s="235">
        <v>43922.92</v>
      </c>
      <c r="E175" s="227">
        <f t="shared" si="10"/>
        <v>460312.2</v>
      </c>
      <c r="F175" s="216"/>
      <c r="G175" s="226">
        <f t="shared" si="11"/>
        <v>488.40000000000146</v>
      </c>
      <c r="H175" s="228">
        <f t="shared" si="12"/>
        <v>1.1244512429284391E-2</v>
      </c>
      <c r="I175" s="229"/>
      <c r="J175" s="230">
        <f t="shared" si="13"/>
        <v>6.2631934231114064E-3</v>
      </c>
      <c r="K175" s="230">
        <f t="shared" si="14"/>
        <v>6.2631934231114064E-3</v>
      </c>
      <c r="L175">
        <f>K175*Calculations!Y175</f>
        <v>1.7060361216417539</v>
      </c>
    </row>
    <row r="177" spans="1:5">
      <c r="C177" s="227">
        <f>SUM(C3:C175)</f>
        <v>15724.268186970003</v>
      </c>
      <c r="E177" s="227">
        <f t="shared" ref="E177" si="15">SUM(E3:E175)</f>
        <v>682976006.90999985</v>
      </c>
    </row>
    <row r="178" spans="1:5">
      <c r="B178" s="239" t="s">
        <v>789</v>
      </c>
      <c r="C178" s="240"/>
      <c r="D178" s="241">
        <f>ROUND(E177/C177,2)</f>
        <v>43434.52</v>
      </c>
      <c r="E178" s="242"/>
    </row>
    <row r="181" spans="1:5">
      <c r="A181" s="212" t="s">
        <v>790</v>
      </c>
      <c r="B181" s="212" t="s">
        <v>791</v>
      </c>
    </row>
    <row r="182" spans="1:5">
      <c r="B182" s="212" t="s">
        <v>792</v>
      </c>
    </row>
    <row r="184" spans="1:5">
      <c r="B184" s="212" t="s">
        <v>793</v>
      </c>
    </row>
  </sheetData>
  <mergeCells count="1">
    <mergeCell ref="G1:H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2"/>
  <sheetViews>
    <sheetView zoomScale="120" zoomScaleNormal="120" workbookViewId="0">
      <pane xSplit="3" ySplit="2" topLeftCell="G3" activePane="bottomRight" state="frozen"/>
      <selection pane="topRight" activeCell="C1" sqref="C1"/>
      <selection pane="bottomLeft" activeCell="A4" sqref="A4"/>
      <selection pane="bottomRight" activeCell="G2" sqref="G2"/>
    </sheetView>
  </sheetViews>
  <sheetFormatPr defaultColWidth="8.85546875" defaultRowHeight="15"/>
  <cols>
    <col min="1" max="1" width="9.42578125" customWidth="1"/>
    <col min="2" max="2" width="10.7109375" customWidth="1"/>
    <col min="3" max="3" width="46.7109375" customWidth="1"/>
    <col min="4" max="4" width="9.85546875" bestFit="1" customWidth="1"/>
    <col min="7" max="7" width="10.140625" customWidth="1"/>
    <col min="8" max="8" width="11.28515625" customWidth="1"/>
    <col min="9" max="9" width="10.85546875" customWidth="1"/>
    <col min="12" max="12" width="4.42578125" style="25" customWidth="1"/>
    <col min="13" max="16" width="11" style="27" customWidth="1"/>
    <col min="17" max="17" width="12.42578125" style="27" customWidth="1"/>
    <col min="18" max="22" width="11" style="27" customWidth="1"/>
    <col min="23" max="26" width="11.42578125" customWidth="1"/>
    <col min="27" max="27" width="9.42578125" customWidth="1"/>
    <col min="28" max="28" width="4.42578125" style="25" customWidth="1"/>
    <col min="29" max="30" width="11.85546875" customWidth="1"/>
    <col min="31" max="31" width="13.140625" bestFit="1" customWidth="1"/>
    <col min="33" max="33" width="15.85546875" bestFit="1" customWidth="1"/>
    <col min="34" max="34" width="14" bestFit="1" customWidth="1"/>
    <col min="35" max="35" width="17.85546875" customWidth="1"/>
    <col min="36" max="36" width="16.42578125" customWidth="1"/>
    <col min="37" max="37" width="14.42578125" bestFit="1" customWidth="1"/>
    <col min="38" max="38" width="13.42578125" bestFit="1" customWidth="1"/>
    <col min="39" max="40" width="13.42578125" customWidth="1"/>
    <col min="41" max="41" width="14.42578125" bestFit="1" customWidth="1"/>
    <col min="42" max="42" width="13.85546875" bestFit="1" customWidth="1"/>
    <col min="43" max="44" width="13.85546875" customWidth="1"/>
    <col min="45" max="45" width="15.42578125" bestFit="1" customWidth="1"/>
    <col min="46" max="46" width="14.85546875" bestFit="1" customWidth="1"/>
  </cols>
  <sheetData>
    <row r="1" spans="1:46">
      <c r="D1" s="351" t="s">
        <v>243</v>
      </c>
      <c r="E1" s="351"/>
      <c r="F1" s="351"/>
      <c r="G1" s="351"/>
      <c r="H1" s="351"/>
      <c r="I1" s="351"/>
      <c r="J1" s="351"/>
      <c r="K1" s="73"/>
      <c r="L1" s="29"/>
      <c r="M1" s="370" t="s">
        <v>244</v>
      </c>
      <c r="N1" s="370"/>
      <c r="O1" s="370"/>
      <c r="P1" s="370"/>
      <c r="Q1" s="370"/>
      <c r="R1" s="370"/>
      <c r="S1" s="370"/>
      <c r="T1" s="370"/>
      <c r="U1" s="370"/>
      <c r="V1" s="370"/>
      <c r="W1" s="370"/>
      <c r="X1" s="61"/>
      <c r="Y1" s="211"/>
      <c r="Z1" s="211"/>
      <c r="AC1" s="369" t="s">
        <v>241</v>
      </c>
      <c r="AD1" s="369"/>
      <c r="AE1" s="369"/>
    </row>
    <row r="2" spans="1:46" ht="63.95" customHeight="1">
      <c r="A2" s="9" t="s">
        <v>179</v>
      </c>
      <c r="B2" s="10" t="s">
        <v>180</v>
      </c>
      <c r="C2" s="10" t="s">
        <v>181</v>
      </c>
      <c r="D2" s="1" t="s">
        <v>8</v>
      </c>
      <c r="E2" s="1" t="s">
        <v>7</v>
      </c>
      <c r="F2" s="4" t="s">
        <v>9</v>
      </c>
      <c r="G2" s="3" t="s">
        <v>3</v>
      </c>
      <c r="H2" s="271" t="s">
        <v>844</v>
      </c>
      <c r="I2" s="3" t="s">
        <v>240</v>
      </c>
      <c r="J2" t="s">
        <v>5</v>
      </c>
      <c r="K2" t="s">
        <v>6</v>
      </c>
      <c r="M2" s="30" t="s">
        <v>245</v>
      </c>
      <c r="N2" s="30" t="s">
        <v>246</v>
      </c>
      <c r="O2" s="31" t="s">
        <v>9</v>
      </c>
      <c r="P2" s="30" t="s">
        <v>3</v>
      </c>
      <c r="Q2" s="271" t="s">
        <v>844</v>
      </c>
      <c r="R2" s="30" t="s">
        <v>324</v>
      </c>
      <c r="S2" s="30" t="s">
        <v>5</v>
      </c>
      <c r="T2" s="30" t="s">
        <v>422</v>
      </c>
      <c r="U2" s="30" t="s">
        <v>818</v>
      </c>
      <c r="V2" s="161" t="s">
        <v>572</v>
      </c>
      <c r="W2" s="3" t="s">
        <v>416</v>
      </c>
      <c r="X2" s="62" t="s">
        <v>417</v>
      </c>
      <c r="Y2" s="210" t="s">
        <v>795</v>
      </c>
      <c r="Z2" s="210" t="s">
        <v>794</v>
      </c>
      <c r="AA2" s="3" t="s">
        <v>10</v>
      </c>
      <c r="AB2" s="26"/>
      <c r="AC2" t="s">
        <v>242</v>
      </c>
      <c r="AD2" s="3" t="s">
        <v>255</v>
      </c>
      <c r="AE2" t="s">
        <v>247</v>
      </c>
      <c r="AG2" s="8" t="s">
        <v>316</v>
      </c>
      <c r="AH2" s="8" t="s">
        <v>7</v>
      </c>
      <c r="AI2" s="4" t="s">
        <v>9</v>
      </c>
      <c r="AJ2" s="41" t="s">
        <v>3</v>
      </c>
      <c r="AK2" s="272" t="s">
        <v>844</v>
      </c>
      <c r="AL2" s="8" t="s">
        <v>5</v>
      </c>
      <c r="AM2" s="210" t="s">
        <v>800</v>
      </c>
      <c r="AN2" s="74" t="s">
        <v>6</v>
      </c>
      <c r="AO2" s="263" t="s">
        <v>818</v>
      </c>
      <c r="AP2" s="263" t="s">
        <v>416</v>
      </c>
      <c r="AQ2" s="64" t="s">
        <v>572</v>
      </c>
      <c r="AR2" s="64" t="s">
        <v>421</v>
      </c>
      <c r="AS2" s="40" t="s">
        <v>248</v>
      </c>
      <c r="AT2" s="51" t="s">
        <v>322</v>
      </c>
    </row>
    <row r="3" spans="1:46">
      <c r="A3" t="str">
        <f t="shared" ref="A3:A66" si="0">RIGHT(C3,3)</f>
        <v>001</v>
      </c>
      <c r="B3">
        <f>A3*1</f>
        <v>1</v>
      </c>
      <c r="C3" s="14" t="s">
        <v>11</v>
      </c>
      <c r="D3">
        <f>IF(settings!$G$4=0,'Student Enrollment Data'!AX4,'Student Enrollment Data'!CK4)</f>
        <v>24552.73053359133</v>
      </c>
      <c r="E3">
        <f>IF(settings!$G$4=0,'Student Enrollment Data'!AY4,'Student Enrollment Data'!CL4)</f>
        <v>6056.5</v>
      </c>
      <c r="F3">
        <f>IF(settings!$G$4=0,'Student Enrollment Data'!AZ4,'Student Enrollment Data'!CM4)</f>
        <v>8335.5904512899888</v>
      </c>
      <c r="G3" s="23">
        <f>'Student Enrollment Data'!BK4</f>
        <v>3105</v>
      </c>
      <c r="H3">
        <f>'Student Enrollment Data'!BF4</f>
        <v>12416</v>
      </c>
      <c r="I3">
        <f>SUM('Student Enrollment Data'!R4:X4,'Student Enrollment Data'!AQ4:AW4)</f>
        <v>763.30381837130994</v>
      </c>
      <c r="J3">
        <f>'Student Enrollment Data'!BS4</f>
        <v>2853</v>
      </c>
      <c r="K3">
        <f>M3*0.1</f>
        <v>2455.273053359133</v>
      </c>
      <c r="M3" s="27">
        <f t="shared" ref="M3:M34" si="1">MAX(D3,30)</f>
        <v>24552.73053359133</v>
      </c>
      <c r="N3" s="27">
        <f>E3*'Front page'!$B$20</f>
        <v>605.65</v>
      </c>
      <c r="O3" s="27">
        <f>F3*'Front page'!$B$21</f>
        <v>833.55904512899895</v>
      </c>
      <c r="P3">
        <f>G3*'Front page'!$B$18</f>
        <v>310.5</v>
      </c>
      <c r="Q3" s="27">
        <f>IF(settings!$B$4=0,Calculations!H3,Calculations!I3) *'Front page'!$B$11</f>
        <v>1241.6000000000001</v>
      </c>
      <c r="R3" s="28">
        <f>ROUND(I3*'Front page'!$B$9,2)</f>
        <v>0</v>
      </c>
      <c r="S3" s="27">
        <f>J3*'Front page'!$B$14</f>
        <v>285.3</v>
      </c>
      <c r="T3" s="81">
        <f>'Front page'!$B$16*Calculations!K3</f>
        <v>49.105461067182659</v>
      </c>
      <c r="U3" s="81">
        <f>IF(settings!$B$13=0,(Calculations!M3*'Economic Adjustment'!O2)-Calculations!M3,0)</f>
        <v>0</v>
      </c>
      <c r="V3" s="154">
        <f>VLOOKUP(B3,'Remote School Building Weight'!$M$2:$P$174,3,FALSE)</f>
        <v>0</v>
      </c>
      <c r="W3" s="23">
        <f>'Small Dist Weight'!V2-Calculations!D3</f>
        <v>0</v>
      </c>
      <c r="X3" s="23">
        <f>IF(settings!$P$9=0,'Large District Weight'!H2*'Large District Weight'!G2,0)</f>
        <v>0</v>
      </c>
      <c r="Y3" s="23">
        <f>SUM(M3:X3)</f>
        <v>27878.445039787508</v>
      </c>
      <c r="Z3" s="23">
        <f>IF(settings!$F$13=0,'Teacher Exp'!L3,0)</f>
        <v>0</v>
      </c>
      <c r="AA3" s="23">
        <f>Y3+Z3</f>
        <v>27878.445039787508</v>
      </c>
      <c r="AC3" s="24">
        <f>'Student Enrollment Data'!BU4</f>
        <v>3842</v>
      </c>
      <c r="AD3" s="24">
        <f>M3*0.1</f>
        <v>2455.273053359133</v>
      </c>
      <c r="AE3" s="24">
        <f>AD3*'Front page'!$B$16</f>
        <v>49.105461067182659</v>
      </c>
      <c r="AG3" s="6">
        <f>M3*'Front page'!$E$3</f>
        <v>120546950.26177929</v>
      </c>
      <c r="AH3" s="6">
        <f>N3*'Front page'!$E$3</f>
        <v>2973569.8979044496</v>
      </c>
      <c r="AI3" s="6">
        <f>O3*'Front page'!$E$3</f>
        <v>4092538.7347834026</v>
      </c>
      <c r="AJ3" s="6">
        <f>P3*'Front page'!$E$3</f>
        <v>1524467.0243528963</v>
      </c>
      <c r="AK3" s="6">
        <f>Q3*'Front page'!$E$3</f>
        <v>6095904.2107457528</v>
      </c>
      <c r="AL3" s="6">
        <f>S3*'Front page'!$E$3</f>
        <v>1400742.1644054148</v>
      </c>
      <c r="AM3" s="5">
        <f>Z3*'Front page'!$E$3</f>
        <v>0</v>
      </c>
      <c r="AN3" s="6">
        <f>T3*'Front page'!$E$3</f>
        <v>241093.90052355858</v>
      </c>
      <c r="AO3" s="6">
        <f>U3*'Front page'!$E$3</f>
        <v>0</v>
      </c>
      <c r="AP3" s="6">
        <f>W3*'Front page'!$E$3</f>
        <v>0</v>
      </c>
      <c r="AQ3" s="6">
        <f>V3*'Front page'!$E$3</f>
        <v>0</v>
      </c>
      <c r="AR3" s="6">
        <f>X3*'Front page'!$E$3</f>
        <v>0</v>
      </c>
      <c r="AS3" s="6">
        <f>SUM(AG3:AR3)</f>
        <v>136875266.19449478</v>
      </c>
      <c r="AT3" s="7">
        <f>IF(AS3&gt;'Funding Comparison'!D3*(1+'Front page'!$H$10),'Funding Comparison'!D3*(1+'Front page'!$H$10),AS3)</f>
        <v>4021188.7485000007</v>
      </c>
    </row>
    <row r="4" spans="1:46">
      <c r="A4" t="str">
        <f t="shared" si="0"/>
        <v>002</v>
      </c>
      <c r="B4">
        <f t="shared" ref="B4:B67" si="2">A4*1</f>
        <v>2</v>
      </c>
      <c r="C4" s="14" t="s">
        <v>12</v>
      </c>
      <c r="D4">
        <f>IF(settings!$G$4=0,'Student Enrollment Data'!AX5,'Student Enrollment Data'!CK5)</f>
        <v>37888.524509803923</v>
      </c>
      <c r="E4">
        <f>IF(settings!$G$4=0,'Student Enrollment Data'!AY5,'Student Enrollment Data'!CL5)</f>
        <v>9828</v>
      </c>
      <c r="F4">
        <f>IF(settings!$G$4=0,'Student Enrollment Data'!AZ5,'Student Enrollment Data'!CM5)</f>
        <v>12164.556372549019</v>
      </c>
      <c r="G4" s="23">
        <f>'Student Enrollment Data'!BK5</f>
        <v>4001</v>
      </c>
      <c r="H4">
        <f>'Student Enrollment Data'!BF5</f>
        <v>9492</v>
      </c>
      <c r="I4">
        <f>SUM('Student Enrollment Data'!R5:X5,'Student Enrollment Data'!AQ5:AW5)</f>
        <v>1013.0226939834142</v>
      </c>
      <c r="J4">
        <f>'Student Enrollment Data'!BS5</f>
        <v>1841</v>
      </c>
      <c r="K4">
        <f t="shared" ref="K4:K67" si="3">M4*0.1</f>
        <v>3788.8524509803924</v>
      </c>
      <c r="M4" s="27">
        <f>MAX(D4,30)</f>
        <v>37888.524509803923</v>
      </c>
      <c r="N4" s="27">
        <f>E4*'Front page'!$B$20</f>
        <v>982.80000000000007</v>
      </c>
      <c r="O4" s="27">
        <f>F4*'Front page'!$B$21</f>
        <v>1216.4556372549021</v>
      </c>
      <c r="P4">
        <f>G4*'Front page'!$B$18</f>
        <v>400.1</v>
      </c>
      <c r="Q4" s="27">
        <f>IF(settings!$B$4=0,Calculations!H4,Calculations!I4) *'Front page'!$B$11</f>
        <v>949.2</v>
      </c>
      <c r="R4" s="28">
        <f>ROUND(I4*'Front page'!$B$9,2)</f>
        <v>0</v>
      </c>
      <c r="S4" s="27">
        <f>J4*'Front page'!$B$14</f>
        <v>184.10000000000002</v>
      </c>
      <c r="T4" s="81">
        <f>'Front page'!$B$16*Calculations!K4</f>
        <v>75.777049019607844</v>
      </c>
      <c r="U4" s="81">
        <f>IF(settings!$B$13=0,(Calculations!M4*'Economic Adjustment'!O3)-Calculations!M4,0)</f>
        <v>0</v>
      </c>
      <c r="V4" s="154">
        <f>VLOOKUP(B4,'Remote School Building Weight'!$M$2:$P$174,3,FALSE)</f>
        <v>0</v>
      </c>
      <c r="W4" s="23">
        <f>'Small Dist Weight'!V3-Calculations!D4</f>
        <v>0</v>
      </c>
      <c r="X4" s="23">
        <f>IF(settings!$P$9=0,'Large District Weight'!H3*'Large District Weight'!G3,0)</f>
        <v>0</v>
      </c>
      <c r="Y4" s="23">
        <f t="shared" ref="Y4:Y67" si="4">SUM(M4:X4)</f>
        <v>41696.957196078431</v>
      </c>
      <c r="Z4" s="23">
        <f>IF(settings!$F$13=0,'Teacher Exp'!L4,0)</f>
        <v>0</v>
      </c>
      <c r="AA4" s="23">
        <f t="shared" ref="AA4:AA67" si="5">Y4+Z4</f>
        <v>41696.957196078431</v>
      </c>
      <c r="AC4" s="24">
        <f>'Student Enrollment Data'!BU5</f>
        <v>2545</v>
      </c>
      <c r="AD4" s="24">
        <f t="shared" ref="AD4:AD67" si="6">M4*0.1</f>
        <v>3788.8524509803924</v>
      </c>
      <c r="AE4" s="24">
        <f>AD4*'Front page'!$B$16</f>
        <v>75.777049019607844</v>
      </c>
      <c r="AG4" s="6">
        <f>M4*'Front page'!$E$3</f>
        <v>186021920.18223047</v>
      </c>
      <c r="AH4" s="6">
        <f>N4*'Front page'!$E$3</f>
        <v>4825269.5379517758</v>
      </c>
      <c r="AI4" s="6">
        <f>O4*'Front page'!$E$3</f>
        <v>5972452.5139558343</v>
      </c>
      <c r="AJ4" s="6">
        <f>P4*'Front page'!$E$3</f>
        <v>1964377.637499497</v>
      </c>
      <c r="AK4" s="6">
        <f>Q4*'Front page'!$E$3</f>
        <v>4660303.0580218006</v>
      </c>
      <c r="AL4" s="6">
        <f>S4*'Front page'!$E$3</f>
        <v>903878.83794965607</v>
      </c>
      <c r="AM4" s="5">
        <f>Z4*'Front page'!$E$3</f>
        <v>0</v>
      </c>
      <c r="AN4" s="6">
        <f>T4*'Front page'!$E$3</f>
        <v>372043.84036446095</v>
      </c>
      <c r="AO4" s="6">
        <f>U4*'Front page'!$E$3</f>
        <v>0</v>
      </c>
      <c r="AP4" s="6">
        <f>W4*'Front page'!$E$3</f>
        <v>0</v>
      </c>
      <c r="AQ4" s="6">
        <f>V4*'Front page'!$E$3</f>
        <v>0</v>
      </c>
      <c r="AR4" s="6">
        <f>X4*'Front page'!$E$3</f>
        <v>0</v>
      </c>
      <c r="AS4" s="6">
        <f>SUM(AG4:AR4)</f>
        <v>204720245.60797352</v>
      </c>
      <c r="AT4" s="7">
        <f>IF(AS4&gt;'Funding Comparison'!D4*(1+'Front page'!$H$10),'Funding Comparison'!D4*(1+'Front page'!$H$10),AS4)</f>
        <v>12713651.6535</v>
      </c>
    </row>
    <row r="5" spans="1:46">
      <c r="A5" t="str">
        <f t="shared" si="0"/>
        <v>003</v>
      </c>
      <c r="B5">
        <f t="shared" si="2"/>
        <v>3</v>
      </c>
      <c r="C5" s="14" t="s">
        <v>13</v>
      </c>
      <c r="D5">
        <f>IF(settings!$G$4=0,'Student Enrollment Data'!AX6,'Student Enrollment Data'!CK6)</f>
        <v>5161.4496078431375</v>
      </c>
      <c r="E5">
        <f>IF(settings!$G$4=0,'Student Enrollment Data'!AY6,'Student Enrollment Data'!CL6)</f>
        <v>1280</v>
      </c>
      <c r="F5">
        <f>IF(settings!$G$4=0,'Student Enrollment Data'!AZ6,'Student Enrollment Data'!CM6)</f>
        <v>1766.9863725490195</v>
      </c>
      <c r="G5" s="23">
        <f>'Student Enrollment Data'!BK6</f>
        <v>646</v>
      </c>
      <c r="H5">
        <f>'Student Enrollment Data'!BF6</f>
        <v>1678</v>
      </c>
      <c r="I5">
        <f>SUM('Student Enrollment Data'!R6:X6,'Student Enrollment Data'!AQ6:AW6)</f>
        <v>196.4864557940341</v>
      </c>
      <c r="J5">
        <f>'Student Enrollment Data'!BS6</f>
        <v>190</v>
      </c>
      <c r="K5">
        <f t="shared" si="3"/>
        <v>516.14496078431375</v>
      </c>
      <c r="M5" s="27">
        <f t="shared" si="1"/>
        <v>5161.4496078431375</v>
      </c>
      <c r="N5" s="27">
        <f>E5*'Front page'!$B$20</f>
        <v>128</v>
      </c>
      <c r="O5" s="27">
        <f>F5*'Front page'!$B$21</f>
        <v>176.69863725490197</v>
      </c>
      <c r="P5">
        <f>G5*'Front page'!$B$18</f>
        <v>64.600000000000009</v>
      </c>
      <c r="Q5" s="27">
        <f>IF(settings!$B$4=0,Calculations!H5,Calculations!I5) *'Front page'!$B$11</f>
        <v>167.8</v>
      </c>
      <c r="R5" s="28">
        <f>ROUND(I5*'Front page'!$B$9,2)</f>
        <v>0</v>
      </c>
      <c r="S5" s="27">
        <f>J5*'Front page'!$B$14</f>
        <v>19</v>
      </c>
      <c r="T5" s="81">
        <f>'Front page'!$B$16*Calculations!K5</f>
        <v>10.322899215686276</v>
      </c>
      <c r="U5" s="81">
        <f>IF(settings!$B$13=0,(Calculations!M5*'Economic Adjustment'!O4)-Calculations!M5,0)</f>
        <v>0</v>
      </c>
      <c r="V5" s="154">
        <f>VLOOKUP(B5,'Remote School Building Weight'!$M$2:$P$174,3,FALSE)</f>
        <v>0</v>
      </c>
      <c r="W5" s="23">
        <f>'Small Dist Weight'!V4-Calculations!D5</f>
        <v>0</v>
      </c>
      <c r="X5" s="23">
        <f>IF(settings!$P$9=0,'Large District Weight'!H4*'Large District Weight'!G4,0)</f>
        <v>0</v>
      </c>
      <c r="Y5" s="23">
        <f t="shared" si="4"/>
        <v>5727.8711443137263</v>
      </c>
      <c r="Z5" s="23">
        <f>IF(settings!$F$13=0,'Teacher Exp'!L5,0)</f>
        <v>0</v>
      </c>
      <c r="AA5" s="23">
        <f t="shared" si="5"/>
        <v>5727.8711443137263</v>
      </c>
      <c r="AC5" s="24">
        <f>'Student Enrollment Data'!BU6</f>
        <v>37</v>
      </c>
      <c r="AD5" s="24">
        <f t="shared" si="6"/>
        <v>516.14496078431375</v>
      </c>
      <c r="AE5" s="24">
        <f>AD5*'Front page'!$B$16</f>
        <v>10.322899215686276</v>
      </c>
      <c r="AG5" s="6">
        <f>M5*'Front page'!$E$3</f>
        <v>25341255.153030761</v>
      </c>
      <c r="AH5" s="6">
        <f>N5*'Front page'!$E$3</f>
        <v>628443.73306657234</v>
      </c>
      <c r="AI5" s="6">
        <f>O5*'Front page'!$E$3</f>
        <v>867540.24393942743</v>
      </c>
      <c r="AJ5" s="6">
        <f>P5*'Front page'!$E$3</f>
        <v>317167.69653203577</v>
      </c>
      <c r="AK5" s="6">
        <f>Q5*'Front page'!$E$3</f>
        <v>823850.45631695969</v>
      </c>
      <c r="AL5" s="6">
        <f>S5*'Front page'!$E$3</f>
        <v>93284.616627069336</v>
      </c>
      <c r="AM5" s="5">
        <f>Z5*'Front page'!$E$3</f>
        <v>0</v>
      </c>
      <c r="AN5" s="6">
        <f>T5*'Front page'!$E$3</f>
        <v>50682.510306061522</v>
      </c>
      <c r="AO5" s="6">
        <f>U5*'Front page'!$E$3</f>
        <v>0</v>
      </c>
      <c r="AP5" s="6">
        <f>W5*'Front page'!$E$3</f>
        <v>0</v>
      </c>
      <c r="AQ5" s="6">
        <f>V5*'Front page'!$E$3</f>
        <v>0</v>
      </c>
      <c r="AR5" s="6">
        <f>X5*'Front page'!$E$3</f>
        <v>0</v>
      </c>
      <c r="AS5" s="6">
        <f t="shared" ref="AS5:AS67" si="7">SUM(AG5:AR5)</f>
        <v>28122224.409818888</v>
      </c>
      <c r="AT5" s="7">
        <f>IF(AS5&gt;'Funding Comparison'!D5*(1+'Front page'!$H$10),'Funding Comparison'!D5*(1+'Front page'!$H$10),AS5)</f>
        <v>2446563.9975000005</v>
      </c>
    </row>
    <row r="6" spans="1:46">
      <c r="A6" t="str">
        <f t="shared" si="0"/>
        <v>011</v>
      </c>
      <c r="B6">
        <f t="shared" si="2"/>
        <v>11</v>
      </c>
      <c r="C6" s="14" t="s">
        <v>14</v>
      </c>
      <c r="D6">
        <f>IF(settings!$G$4=0,'Student Enrollment Data'!AX7,'Student Enrollment Data'!CK7)</f>
        <v>147</v>
      </c>
      <c r="E6">
        <f>IF(settings!$G$4=0,'Student Enrollment Data'!AY7,'Student Enrollment Data'!CL7)</f>
        <v>28</v>
      </c>
      <c r="F6">
        <f>IF(settings!$G$4=0,'Student Enrollment Data'!AZ7,'Student Enrollment Data'!CM7)</f>
        <v>40</v>
      </c>
      <c r="G6" s="23">
        <f>'Student Enrollment Data'!BK7</f>
        <v>25</v>
      </c>
      <c r="H6">
        <f>'Student Enrollment Data'!BF7</f>
        <v>66</v>
      </c>
      <c r="I6">
        <f>SUM('Student Enrollment Data'!R7:X7,'Student Enrollment Data'!AQ7:AW7)</f>
        <v>0</v>
      </c>
      <c r="J6">
        <f>'Student Enrollment Data'!BS7</f>
        <v>9</v>
      </c>
      <c r="K6">
        <f t="shared" si="3"/>
        <v>14.700000000000001</v>
      </c>
      <c r="M6" s="27">
        <f t="shared" si="1"/>
        <v>147</v>
      </c>
      <c r="N6" s="27">
        <f>E6*'Front page'!$B$20</f>
        <v>2.8000000000000003</v>
      </c>
      <c r="O6" s="27">
        <f>F6*'Front page'!$B$21</f>
        <v>4</v>
      </c>
      <c r="P6">
        <f>G6*'Front page'!$B$18</f>
        <v>2.5</v>
      </c>
      <c r="Q6" s="27">
        <f>IF(settings!$B$4=0,Calculations!H6,Calculations!I6) *'Front page'!$B$11</f>
        <v>6.6000000000000005</v>
      </c>
      <c r="R6" s="28">
        <f>ROUND(I6*'Front page'!$B$9,2)</f>
        <v>0</v>
      </c>
      <c r="S6" s="27">
        <f>J6*'Front page'!$B$14</f>
        <v>0.9</v>
      </c>
      <c r="T6" s="81">
        <f>'Front page'!$B$16*Calculations!K6</f>
        <v>0.29400000000000004</v>
      </c>
      <c r="U6" s="81">
        <f>IF(settings!$B$13=0,(Calculations!M6*'Economic Adjustment'!O5)-Calculations!M6,0)</f>
        <v>0</v>
      </c>
      <c r="V6" s="154">
        <f>VLOOKUP(B6,'Remote School Building Weight'!$M$2:$P$174,3,FALSE)</f>
        <v>0</v>
      </c>
      <c r="W6" s="23">
        <f>'Small Dist Weight'!V5-Calculations!D6</f>
        <v>169.44905172413792</v>
      </c>
      <c r="X6" s="23">
        <f>IF(settings!$P$9=0,'Large District Weight'!H5*'Large District Weight'!G5,0)</f>
        <v>0</v>
      </c>
      <c r="Y6" s="23">
        <f t="shared" si="4"/>
        <v>333.54305172413797</v>
      </c>
      <c r="Z6" s="23">
        <f>IF(settings!$F$13=0,'Teacher Exp'!L6,0)</f>
        <v>0</v>
      </c>
      <c r="AA6" s="23">
        <f t="shared" si="5"/>
        <v>333.54305172413797</v>
      </c>
      <c r="AC6" s="24">
        <f>'Student Enrollment Data'!BU7</f>
        <v>0</v>
      </c>
      <c r="AD6" s="24">
        <f t="shared" si="6"/>
        <v>14.700000000000001</v>
      </c>
      <c r="AE6" s="24">
        <f>AD6*'Front page'!$B$16</f>
        <v>0.29400000000000004</v>
      </c>
      <c r="AG6" s="6">
        <f>M6*'Front page'!$E$3</f>
        <v>721728.34969364165</v>
      </c>
      <c r="AH6" s="6">
        <f>N6*'Front page'!$E$3</f>
        <v>13747.206660831271</v>
      </c>
      <c r="AI6" s="6">
        <f>O6*'Front page'!$E$3</f>
        <v>19638.866658330386</v>
      </c>
      <c r="AJ6" s="6">
        <f>P6*'Front page'!$E$3</f>
        <v>12274.291661456491</v>
      </c>
      <c r="AK6" s="6">
        <f>Q6*'Front page'!$E$3</f>
        <v>32404.129986245138</v>
      </c>
      <c r="AL6" s="6">
        <f>S6*'Front page'!$E$3</f>
        <v>4418.7449981243371</v>
      </c>
      <c r="AM6" s="5">
        <f>Z6*'Front page'!$E$3</f>
        <v>0</v>
      </c>
      <c r="AN6" s="6">
        <f>T6*'Front page'!$E$3</f>
        <v>1443.4566993872836</v>
      </c>
      <c r="AO6" s="6">
        <f>U6*'Front page'!$E$3</f>
        <v>0</v>
      </c>
      <c r="AP6" s="6">
        <f>W6*'Front page'!$E$3</f>
        <v>831946.83304771828</v>
      </c>
      <c r="AQ6" s="6">
        <f>V6*'Front page'!$E$3</f>
        <v>0</v>
      </c>
      <c r="AR6" s="6">
        <f>X6*'Front page'!$E$3</f>
        <v>0</v>
      </c>
      <c r="AS6" s="6">
        <f t="shared" si="7"/>
        <v>1637601.8794057348</v>
      </c>
      <c r="AT6" s="7">
        <f>IF(AS6&gt;'Funding Comparison'!D6*(1+'Front page'!$H$10),'Funding Comparison'!D6*(1+'Front page'!$H$10),AS6)</f>
        <v>938072.44650000008</v>
      </c>
    </row>
    <row r="7" spans="1:46">
      <c r="A7" t="str">
        <f t="shared" si="0"/>
        <v>013</v>
      </c>
      <c r="B7">
        <f t="shared" si="2"/>
        <v>13</v>
      </c>
      <c r="C7" s="14" t="s">
        <v>15</v>
      </c>
      <c r="D7">
        <f>IF(settings!$G$4=0,'Student Enrollment Data'!AX8,'Student Enrollment Data'!CK8)</f>
        <v>272</v>
      </c>
      <c r="E7">
        <f>IF(settings!$G$4=0,'Student Enrollment Data'!AY8,'Student Enrollment Data'!CL8)</f>
        <v>69</v>
      </c>
      <c r="F7">
        <f>IF(settings!$G$4=0,'Student Enrollment Data'!AZ8,'Student Enrollment Data'!CM8)</f>
        <v>71</v>
      </c>
      <c r="G7" s="23">
        <f>'Student Enrollment Data'!BK8</f>
        <v>27</v>
      </c>
      <c r="H7">
        <f>'Student Enrollment Data'!BF8</f>
        <v>144</v>
      </c>
      <c r="I7">
        <f>SUM('Student Enrollment Data'!R8:X8,'Student Enrollment Data'!AQ8:AW8)</f>
        <v>0</v>
      </c>
      <c r="J7">
        <f>'Student Enrollment Data'!BS8</f>
        <v>0</v>
      </c>
      <c r="K7">
        <f t="shared" si="3"/>
        <v>27.200000000000003</v>
      </c>
      <c r="M7" s="27">
        <f t="shared" si="1"/>
        <v>272</v>
      </c>
      <c r="N7" s="27">
        <f>E7*'Front page'!$B$20</f>
        <v>6.9</v>
      </c>
      <c r="O7" s="27">
        <f>F7*'Front page'!$B$21</f>
        <v>7.1000000000000005</v>
      </c>
      <c r="P7">
        <f>G7*'Front page'!$B$18</f>
        <v>2.7</v>
      </c>
      <c r="Q7" s="27">
        <f>IF(settings!$B$4=0,Calculations!H7,Calculations!I7) *'Front page'!$B$11</f>
        <v>14.4</v>
      </c>
      <c r="R7" s="28">
        <f>ROUND(I7*'Front page'!$B$9,2)</f>
        <v>0</v>
      </c>
      <c r="S7" s="27">
        <f>J7*'Front page'!$B$14</f>
        <v>0</v>
      </c>
      <c r="T7" s="81">
        <f>'Front page'!$B$16*Calculations!K7</f>
        <v>0.54400000000000004</v>
      </c>
      <c r="U7" s="81">
        <f>IF(settings!$B$13=0,(Calculations!M7*'Economic Adjustment'!O6)-Calculations!M7,0)</f>
        <v>0</v>
      </c>
      <c r="V7" s="154">
        <f>VLOOKUP(B7,'Remote School Building Weight'!$M$2:$P$174,3,FALSE)</f>
        <v>0</v>
      </c>
      <c r="W7" s="23">
        <f>'Small Dist Weight'!V6-Calculations!D7</f>
        <v>161.36294670846394</v>
      </c>
      <c r="X7" s="23">
        <f>IF(settings!$P$9=0,'Large District Weight'!H6*'Large District Weight'!G6,0)</f>
        <v>0</v>
      </c>
      <c r="Y7" s="23">
        <f t="shared" si="4"/>
        <v>465.00694670846389</v>
      </c>
      <c r="Z7" s="23">
        <f>IF(settings!$F$13=0,'Teacher Exp'!L7,0)</f>
        <v>0</v>
      </c>
      <c r="AA7" s="23">
        <f t="shared" si="5"/>
        <v>465.00694670846389</v>
      </c>
      <c r="AC7" s="24">
        <f>'Student Enrollment Data'!BU8</f>
        <v>0</v>
      </c>
      <c r="AD7" s="24">
        <f t="shared" si="6"/>
        <v>27.200000000000003</v>
      </c>
      <c r="AE7" s="24">
        <f>AD7*'Front page'!$B$16</f>
        <v>0.54400000000000004</v>
      </c>
      <c r="AG7" s="6">
        <f>M7*'Front page'!$E$3</f>
        <v>1335442.9327664662</v>
      </c>
      <c r="AH7" s="6">
        <f>N7*'Front page'!$E$3</f>
        <v>33877.044985619919</v>
      </c>
      <c r="AI7" s="6">
        <f>O7*'Front page'!$E$3</f>
        <v>34858.988318536438</v>
      </c>
      <c r="AJ7" s="6">
        <f>P7*'Front page'!$E$3</f>
        <v>13256.234994373011</v>
      </c>
      <c r="AK7" s="6">
        <f>Q7*'Front page'!$E$3</f>
        <v>70699.919969989394</v>
      </c>
      <c r="AL7" s="6">
        <f>S7*'Front page'!$E$3</f>
        <v>0</v>
      </c>
      <c r="AM7" s="5">
        <f>Z7*'Front page'!$E$3</f>
        <v>0</v>
      </c>
      <c r="AN7" s="6">
        <f>T7*'Front page'!$E$3</f>
        <v>2670.8858655329327</v>
      </c>
      <c r="AO7" s="6">
        <f>U7*'Front page'!$E$3</f>
        <v>0</v>
      </c>
      <c r="AP7" s="6">
        <f>W7*'Front page'!$E$3</f>
        <v>792246.3485006988</v>
      </c>
      <c r="AQ7" s="6">
        <f>V7*'Front page'!$E$3</f>
        <v>0</v>
      </c>
      <c r="AR7" s="6">
        <f>X7*'Front page'!$E$3</f>
        <v>0</v>
      </c>
      <c r="AS7" s="6">
        <f t="shared" si="7"/>
        <v>2283052.355401217</v>
      </c>
      <c r="AT7" s="7">
        <f>IF(AS7&gt;'Funding Comparison'!D7*(1+'Front page'!$H$10),'Funding Comparison'!D7*(1+'Front page'!$H$10),AS7)</f>
        <v>208151.04449999999</v>
      </c>
    </row>
    <row r="8" spans="1:46">
      <c r="A8" t="str">
        <f t="shared" si="0"/>
        <v>021</v>
      </c>
      <c r="B8">
        <f t="shared" si="2"/>
        <v>21</v>
      </c>
      <c r="C8" s="14" t="s">
        <v>16</v>
      </c>
      <c r="D8">
        <f>IF(settings!$G$4=0,'Student Enrollment Data'!AX9,'Student Enrollment Data'!CK9)</f>
        <v>1229</v>
      </c>
      <c r="E8">
        <f>IF(settings!$G$4=0,'Student Enrollment Data'!AY9,'Student Enrollment Data'!CL9)</f>
        <v>304</v>
      </c>
      <c r="F8">
        <f>IF(settings!$G$4=0,'Student Enrollment Data'!AZ9,'Student Enrollment Data'!CM9)</f>
        <v>398</v>
      </c>
      <c r="G8" s="23">
        <f>'Student Enrollment Data'!BK9</f>
        <v>180</v>
      </c>
      <c r="H8">
        <f>'Student Enrollment Data'!BF9</f>
        <v>515</v>
      </c>
      <c r="I8">
        <f>SUM('Student Enrollment Data'!R9:X9,'Student Enrollment Data'!AQ9:AW9)</f>
        <v>0</v>
      </c>
      <c r="J8">
        <f>'Student Enrollment Data'!BS9</f>
        <v>0</v>
      </c>
      <c r="K8">
        <f t="shared" si="3"/>
        <v>122.9</v>
      </c>
      <c r="M8" s="27">
        <f t="shared" si="1"/>
        <v>1229</v>
      </c>
      <c r="N8" s="27">
        <f>E8*'Front page'!$B$20</f>
        <v>30.400000000000002</v>
      </c>
      <c r="O8" s="27">
        <f>F8*'Front page'!$B$21</f>
        <v>39.800000000000004</v>
      </c>
      <c r="P8">
        <f>G8*'Front page'!$B$18</f>
        <v>18</v>
      </c>
      <c r="Q8" s="27">
        <f>IF(settings!$B$4=0,Calculations!H8,Calculations!I8) *'Front page'!$B$11</f>
        <v>51.5</v>
      </c>
      <c r="R8" s="28">
        <f>ROUND(I8*'Front page'!$B$9,2)</f>
        <v>0</v>
      </c>
      <c r="S8" s="27">
        <f>J8*'Front page'!$B$14</f>
        <v>0</v>
      </c>
      <c r="T8" s="81">
        <f>'Front page'!$B$16*Calculations!K8</f>
        <v>2.4580000000000002</v>
      </c>
      <c r="U8" s="81">
        <f>IF(settings!$B$13=0,(Calculations!M8*'Economic Adjustment'!O7)-Calculations!M8,0)</f>
        <v>0</v>
      </c>
      <c r="V8" s="154">
        <f>VLOOKUP(B8,'Remote School Building Weight'!$M$2:$P$174,3,FALSE)</f>
        <v>147.67633997725136</v>
      </c>
      <c r="W8" s="23">
        <f>'Small Dist Weight'!V7-Calculations!D8</f>
        <v>91.709655172413932</v>
      </c>
      <c r="X8" s="23">
        <f>IF(settings!$P$9=0,'Large District Weight'!H7*'Large District Weight'!G7,0)</f>
        <v>0</v>
      </c>
      <c r="Y8" s="23">
        <f t="shared" si="4"/>
        <v>1610.5439951496655</v>
      </c>
      <c r="Z8" s="23">
        <f>IF(settings!$F$13=0,'Teacher Exp'!L8,0)</f>
        <v>0</v>
      </c>
      <c r="AA8" s="23">
        <f t="shared" si="5"/>
        <v>1610.5439951496655</v>
      </c>
      <c r="AC8" s="24">
        <f>'Student Enrollment Data'!BU9</f>
        <v>54</v>
      </c>
      <c r="AD8" s="24">
        <f t="shared" si="6"/>
        <v>122.9</v>
      </c>
      <c r="AE8" s="24">
        <f>AD8*'Front page'!$B$16</f>
        <v>2.4580000000000002</v>
      </c>
      <c r="AG8" s="6">
        <f>M8*'Front page'!$E$3</f>
        <v>6034041.7807720108</v>
      </c>
      <c r="AH8" s="6">
        <f>N8*'Front page'!$E$3</f>
        <v>149255.38660331094</v>
      </c>
      <c r="AI8" s="6">
        <f>O8*'Front page'!$E$3</f>
        <v>195406.72325038735</v>
      </c>
      <c r="AJ8" s="6">
        <f>P8*'Front page'!$E$3</f>
        <v>88374.899962486728</v>
      </c>
      <c r="AK8" s="6">
        <f>Q8*'Front page'!$E$3</f>
        <v>252850.40822600372</v>
      </c>
      <c r="AL8" s="6">
        <f>S8*'Front page'!$E$3</f>
        <v>0</v>
      </c>
      <c r="AM8" s="5">
        <f>Z8*'Front page'!$E$3</f>
        <v>0</v>
      </c>
      <c r="AN8" s="6">
        <f>T8*'Front page'!$E$3</f>
        <v>12068.083561544023</v>
      </c>
      <c r="AO8" s="6">
        <f>U8*'Front page'!$E$3</f>
        <v>0</v>
      </c>
      <c r="AP8" s="6">
        <f>W8*'Front page'!$E$3</f>
        <v>450268.42230312421</v>
      </c>
      <c r="AQ8" s="6">
        <f>V8*'Front page'!$E$3</f>
        <v>725048.98735087609</v>
      </c>
      <c r="AR8" s="6">
        <f>X8*'Front page'!$E$3</f>
        <v>0</v>
      </c>
      <c r="AS8" s="6">
        <f t="shared" si="7"/>
        <v>7907314.6920297444</v>
      </c>
      <c r="AT8" s="7">
        <f>IF(AS8&gt;'Funding Comparison'!D8*(1+'Front page'!$H$10),'Funding Comparison'!D8*(1+'Front page'!$H$10),AS8)</f>
        <v>1480661.7944999998</v>
      </c>
    </row>
    <row r="9" spans="1:46">
      <c r="A9" t="str">
        <f t="shared" si="0"/>
        <v>025</v>
      </c>
      <c r="B9">
        <f t="shared" si="2"/>
        <v>25</v>
      </c>
      <c r="C9" s="14" t="s">
        <v>17</v>
      </c>
      <c r="D9">
        <f>IF(settings!$G$4=0,'Student Enrollment Data'!AX10,'Student Enrollment Data'!CK10)</f>
        <v>12067.65642701525</v>
      </c>
      <c r="E9">
        <f>IF(settings!$G$4=0,'Student Enrollment Data'!AY10,'Student Enrollment Data'!CL10)</f>
        <v>3199.5</v>
      </c>
      <c r="F9">
        <f>IF(settings!$G$4=0,'Student Enrollment Data'!AZ10,'Student Enrollment Data'!CM10)</f>
        <v>4012.4466230936819</v>
      </c>
      <c r="G9" s="23">
        <f>'Student Enrollment Data'!BK10</f>
        <v>1396</v>
      </c>
      <c r="H9">
        <f>'Student Enrollment Data'!BF10</f>
        <v>6186</v>
      </c>
      <c r="I9">
        <f>SUM('Student Enrollment Data'!R10:X10,'Student Enrollment Data'!AQ10:AW10)</f>
        <v>336.96880405316961</v>
      </c>
      <c r="J9">
        <f>'Student Enrollment Data'!BS10</f>
        <v>126</v>
      </c>
      <c r="K9">
        <f t="shared" si="3"/>
        <v>1206.7656427015252</v>
      </c>
      <c r="M9" s="27">
        <f t="shared" si="1"/>
        <v>12067.65642701525</v>
      </c>
      <c r="N9" s="27">
        <f>E9*'Front page'!$B$20</f>
        <v>319.95000000000005</v>
      </c>
      <c r="O9" s="27">
        <f>F9*'Front page'!$B$21</f>
        <v>401.24466230936821</v>
      </c>
      <c r="P9">
        <f>G9*'Front page'!$B$18</f>
        <v>139.6</v>
      </c>
      <c r="Q9" s="27">
        <f>IF(settings!$B$4=0,Calculations!H9,Calculations!I9) *'Front page'!$B$11</f>
        <v>618.6</v>
      </c>
      <c r="R9" s="28">
        <f>ROUND(I9*'Front page'!$B$9,2)</f>
        <v>0</v>
      </c>
      <c r="S9" s="27">
        <f>J9*'Front page'!$B$14</f>
        <v>12.600000000000001</v>
      </c>
      <c r="T9" s="81">
        <f>'Front page'!$B$16*Calculations!K9</f>
        <v>24.135312854030502</v>
      </c>
      <c r="U9" s="81">
        <f>IF(settings!$B$13=0,(Calculations!M9*'Economic Adjustment'!O8)-Calculations!M9,0)</f>
        <v>0</v>
      </c>
      <c r="V9" s="154">
        <f>VLOOKUP(B9,'Remote School Building Weight'!$M$2:$P$174,3,FALSE)</f>
        <v>0</v>
      </c>
      <c r="W9" s="23">
        <f>'Small Dist Weight'!V8-Calculations!D9</f>
        <v>0</v>
      </c>
      <c r="X9" s="23">
        <f>IF(settings!$P$9=0,'Large District Weight'!H8*'Large District Weight'!G8,0)</f>
        <v>0</v>
      </c>
      <c r="Y9" s="23">
        <f t="shared" si="4"/>
        <v>13583.78640217865</v>
      </c>
      <c r="Z9" s="23">
        <f>IF(settings!$F$13=0,'Teacher Exp'!L9,0)</f>
        <v>0</v>
      </c>
      <c r="AA9" s="23">
        <f t="shared" si="5"/>
        <v>13583.78640217865</v>
      </c>
      <c r="AC9" s="24">
        <f>'Student Enrollment Data'!BU10</f>
        <v>1855</v>
      </c>
      <c r="AD9" s="24">
        <f t="shared" si="6"/>
        <v>1206.7656427015252</v>
      </c>
      <c r="AE9" s="24">
        <f>AD9*'Front page'!$B$16</f>
        <v>24.135312854030502</v>
      </c>
      <c r="AG9" s="6">
        <f>M9*'Front page'!$E$3</f>
        <v>59248773.862174049</v>
      </c>
      <c r="AH9" s="6">
        <f>N9*'Front page'!$E$3</f>
        <v>1570863.8468332021</v>
      </c>
      <c r="AI9" s="6">
        <f>O9*'Front page'!$E$3</f>
        <v>1969997.6051151215</v>
      </c>
      <c r="AJ9" s="6">
        <f>P9*'Front page'!$E$3</f>
        <v>685396.44637573045</v>
      </c>
      <c r="AK9" s="6">
        <f>Q9*'Front page'!$E$3</f>
        <v>3037150.7287107944</v>
      </c>
      <c r="AL9" s="6">
        <f>S9*'Front page'!$E$3</f>
        <v>61862.42997374072</v>
      </c>
      <c r="AM9" s="5">
        <f>Z9*'Front page'!$E$3</f>
        <v>0</v>
      </c>
      <c r="AN9" s="6">
        <f>T9*'Front page'!$E$3</f>
        <v>118497.5477243481</v>
      </c>
      <c r="AO9" s="6">
        <f>U9*'Front page'!$E$3</f>
        <v>0</v>
      </c>
      <c r="AP9" s="6">
        <f>W9*'Front page'!$E$3</f>
        <v>0</v>
      </c>
      <c r="AQ9" s="6">
        <f>V9*'Front page'!$E$3</f>
        <v>0</v>
      </c>
      <c r="AR9" s="6">
        <f>X9*'Front page'!$E$3</f>
        <v>0</v>
      </c>
      <c r="AS9" s="6">
        <f t="shared" si="7"/>
        <v>66692542.466906987</v>
      </c>
      <c r="AT9" s="7">
        <f>IF(AS9&gt;'Funding Comparison'!D9*(1+'Front page'!$H$10),'Funding Comparison'!D9*(1+'Front page'!$H$10),AS9)</f>
        <v>445557.88200000004</v>
      </c>
    </row>
    <row r="10" spans="1:46">
      <c r="A10" t="str">
        <f t="shared" si="0"/>
        <v>033</v>
      </c>
      <c r="B10">
        <f t="shared" si="2"/>
        <v>33</v>
      </c>
      <c r="C10" s="14" t="s">
        <v>18</v>
      </c>
      <c r="D10">
        <f>IF(settings!$G$4=0,'Student Enrollment Data'!AX11,'Student Enrollment Data'!CK11)</f>
        <v>1127.5</v>
      </c>
      <c r="E10">
        <f>IF(settings!$G$4=0,'Student Enrollment Data'!AY11,'Student Enrollment Data'!CL11)</f>
        <v>351.5</v>
      </c>
      <c r="F10">
        <f>IF(settings!$G$4=0,'Student Enrollment Data'!AZ11,'Student Enrollment Data'!CM11)</f>
        <v>323</v>
      </c>
      <c r="G10" s="23">
        <f>'Student Enrollment Data'!BK11</f>
        <v>154</v>
      </c>
      <c r="H10">
        <f>'Student Enrollment Data'!BF11</f>
        <v>497</v>
      </c>
      <c r="I10">
        <f>SUM('Student Enrollment Data'!R11:X11,'Student Enrollment Data'!AQ11:AW11)</f>
        <v>11.252511372123021</v>
      </c>
      <c r="J10">
        <f>'Student Enrollment Data'!BS11</f>
        <v>0</v>
      </c>
      <c r="K10">
        <f t="shared" si="3"/>
        <v>112.75</v>
      </c>
      <c r="M10" s="27">
        <f t="shared" si="1"/>
        <v>1127.5</v>
      </c>
      <c r="N10" s="27">
        <f>E10*'Front page'!$B$20</f>
        <v>35.15</v>
      </c>
      <c r="O10" s="27">
        <f>F10*'Front page'!$B$21</f>
        <v>32.300000000000004</v>
      </c>
      <c r="P10">
        <f>G10*'Front page'!$B$18</f>
        <v>15.4</v>
      </c>
      <c r="Q10" s="27">
        <f>IF(settings!$B$4=0,Calculations!H10,Calculations!I10) *'Front page'!$B$11</f>
        <v>49.7</v>
      </c>
      <c r="R10" s="28">
        <f>ROUND(I10*'Front page'!$B$9,2)</f>
        <v>0</v>
      </c>
      <c r="S10" s="27">
        <f>J10*'Front page'!$B$14</f>
        <v>0</v>
      </c>
      <c r="T10" s="81">
        <f>'Front page'!$B$16*Calculations!K10</f>
        <v>2.2549999999999999</v>
      </c>
      <c r="U10" s="81">
        <f>IF(settings!$B$13=0,(Calculations!M10*'Economic Adjustment'!O9)-Calculations!M10,0)</f>
        <v>0</v>
      </c>
      <c r="V10" s="154">
        <f>VLOOKUP(B10,'Remote School Building Weight'!$M$2:$P$174,3,FALSE)</f>
        <v>57.60704446880662</v>
      </c>
      <c r="W10" s="23">
        <f>'Small Dist Weight'!V9-Calculations!D10</f>
        <v>111.31448275862067</v>
      </c>
      <c r="X10" s="23">
        <f>IF(settings!$P$9=0,'Large District Weight'!H9*'Large District Weight'!G9,0)</f>
        <v>0</v>
      </c>
      <c r="Y10" s="23">
        <f t="shared" si="4"/>
        <v>1431.2265272274276</v>
      </c>
      <c r="Z10" s="23">
        <f>IF(settings!$F$13=0,'Teacher Exp'!L10,0)</f>
        <v>0</v>
      </c>
      <c r="AA10" s="23">
        <f t="shared" si="5"/>
        <v>1431.2265272274276</v>
      </c>
      <c r="AC10" s="24">
        <f>'Student Enrollment Data'!BU11</f>
        <v>195</v>
      </c>
      <c r="AD10" s="24">
        <f t="shared" si="6"/>
        <v>112.75</v>
      </c>
      <c r="AE10" s="24">
        <f>AD10*'Front page'!$B$16</f>
        <v>2.2549999999999999</v>
      </c>
      <c r="AG10" s="6">
        <f>M10*'Front page'!$E$3</f>
        <v>5535705.5393168777</v>
      </c>
      <c r="AH10" s="6">
        <f>N10*'Front page'!$E$3</f>
        <v>172576.54076007826</v>
      </c>
      <c r="AI10" s="6">
        <f>O10*'Front page'!$E$3</f>
        <v>158583.84826601789</v>
      </c>
      <c r="AJ10" s="6">
        <f>P10*'Front page'!$E$3</f>
        <v>75609.636634571987</v>
      </c>
      <c r="AK10" s="6">
        <f>Q10*'Front page'!$E$3</f>
        <v>244012.91822975504</v>
      </c>
      <c r="AL10" s="6">
        <f>S10*'Front page'!$E$3</f>
        <v>0</v>
      </c>
      <c r="AM10" s="5">
        <f>Z10*'Front page'!$E$3</f>
        <v>0</v>
      </c>
      <c r="AN10" s="6">
        <f>T10*'Front page'!$E$3</f>
        <v>11071.411078633755</v>
      </c>
      <c r="AO10" s="6">
        <f>U10*'Front page'!$E$3</f>
        <v>0</v>
      </c>
      <c r="AP10" s="6">
        <f>W10*'Front page'!$E$3</f>
        <v>546522.57100939204</v>
      </c>
      <c r="AQ10" s="6">
        <f>V10*'Front page'!$E$3</f>
        <v>282834.26622585056</v>
      </c>
      <c r="AR10" s="6">
        <f>X10*'Front page'!$E$3</f>
        <v>0</v>
      </c>
      <c r="AS10" s="6">
        <f t="shared" si="7"/>
        <v>7026916.7315211771</v>
      </c>
      <c r="AT10" s="7">
        <f>IF(AS10&gt;'Funding Comparison'!D10*(1+'Front page'!$H$10),'Funding Comparison'!D10*(1+'Front page'!$H$10),AS10)</f>
        <v>1532794.6095</v>
      </c>
    </row>
    <row r="11" spans="1:46">
      <c r="A11" t="str">
        <f t="shared" si="0"/>
        <v>041</v>
      </c>
      <c r="B11">
        <f t="shared" si="2"/>
        <v>41</v>
      </c>
      <c r="C11" s="14" t="s">
        <v>19</v>
      </c>
      <c r="D11">
        <f>IF(settings!$G$4=0,'Student Enrollment Data'!AX12,'Student Enrollment Data'!CK12)</f>
        <v>940</v>
      </c>
      <c r="E11">
        <f>IF(settings!$G$4=0,'Student Enrollment Data'!AY12,'Student Enrollment Data'!CL12)</f>
        <v>255</v>
      </c>
      <c r="F11">
        <f>IF(settings!$G$4=0,'Student Enrollment Data'!AZ12,'Student Enrollment Data'!CM12)</f>
        <v>303</v>
      </c>
      <c r="G11" s="23">
        <f>'Student Enrollment Data'!BK12</f>
        <v>139</v>
      </c>
      <c r="H11">
        <f>'Student Enrollment Data'!BF12</f>
        <v>495</v>
      </c>
      <c r="I11">
        <f>SUM('Student Enrollment Data'!R12:X12,'Student Enrollment Data'!AQ12:AW12)</f>
        <v>15.624135584415587</v>
      </c>
      <c r="J11">
        <f>'Student Enrollment Data'!BS12</f>
        <v>77.811939343103845</v>
      </c>
      <c r="K11">
        <f t="shared" si="3"/>
        <v>94</v>
      </c>
      <c r="M11" s="27">
        <f t="shared" si="1"/>
        <v>940</v>
      </c>
      <c r="N11" s="27">
        <f>E11*'Front page'!$B$20</f>
        <v>25.5</v>
      </c>
      <c r="O11" s="27">
        <f>F11*'Front page'!$B$21</f>
        <v>30.3</v>
      </c>
      <c r="P11">
        <f>G11*'Front page'!$B$18</f>
        <v>13.9</v>
      </c>
      <c r="Q11" s="27">
        <f>IF(settings!$B$4=0,Calculations!H11,Calculations!I11) *'Front page'!$B$11</f>
        <v>49.5</v>
      </c>
      <c r="R11" s="28">
        <f>ROUND(I11*'Front page'!$B$9,2)</f>
        <v>0</v>
      </c>
      <c r="S11" s="27">
        <f>J11*'Front page'!$B$14</f>
        <v>7.7811939343103846</v>
      </c>
      <c r="T11" s="81">
        <f>'Front page'!$B$16*Calculations!K11</f>
        <v>1.8800000000000001</v>
      </c>
      <c r="U11" s="81">
        <f>IF(settings!$B$13=0,(Calculations!M11*'Economic Adjustment'!O10)-Calculations!M11,0)</f>
        <v>0</v>
      </c>
      <c r="V11" s="154">
        <f>VLOOKUP(B11,'Remote School Building Weight'!$M$2:$P$174,3,FALSE)</f>
        <v>49.265537206043298</v>
      </c>
      <c r="W11" s="23">
        <f>'Small Dist Weight'!V10-Calculations!D11</f>
        <v>114.05172413793116</v>
      </c>
      <c r="X11" s="23">
        <f>IF(settings!$P$9=0,'Large District Weight'!H10*'Large District Weight'!G10,0)</f>
        <v>0</v>
      </c>
      <c r="Y11" s="23">
        <f t="shared" si="4"/>
        <v>1232.1784552782847</v>
      </c>
      <c r="Z11" s="23">
        <f>IF(settings!$F$13=0,'Teacher Exp'!L11,0)</f>
        <v>0</v>
      </c>
      <c r="AA11" s="23">
        <f t="shared" si="5"/>
        <v>1232.1784552782847</v>
      </c>
      <c r="AC11" s="24">
        <f>'Student Enrollment Data'!BU12</f>
        <v>0</v>
      </c>
      <c r="AD11" s="24">
        <f t="shared" si="6"/>
        <v>94</v>
      </c>
      <c r="AE11" s="24">
        <f>AD11*'Front page'!$B$16</f>
        <v>1.8800000000000001</v>
      </c>
      <c r="AG11" s="6">
        <f>M11*'Front page'!$E$3</f>
        <v>4615133.6647076402</v>
      </c>
      <c r="AH11" s="6">
        <f>N11*'Front page'!$E$3</f>
        <v>125197.77494685621</v>
      </c>
      <c r="AI11" s="6">
        <f>O11*'Front page'!$E$3</f>
        <v>148764.41493685267</v>
      </c>
      <c r="AJ11" s="6">
        <f>P11*'Front page'!$E$3</f>
        <v>68245.061637698091</v>
      </c>
      <c r="AK11" s="6">
        <f>Q11*'Front page'!$E$3</f>
        <v>243030.97489683851</v>
      </c>
      <c r="AL11" s="6">
        <f>S11*'Front page'!$E$3</f>
        <v>38203.457529632709</v>
      </c>
      <c r="AM11" s="5">
        <f>Z11*'Front page'!$E$3</f>
        <v>0</v>
      </c>
      <c r="AN11" s="6">
        <f>T11*'Front page'!$E$3</f>
        <v>9230.267329415281</v>
      </c>
      <c r="AO11" s="6">
        <f>U11*'Front page'!$E$3</f>
        <v>0</v>
      </c>
      <c r="AP11" s="6">
        <f>W11*'Front page'!$E$3</f>
        <v>559961.65062437777</v>
      </c>
      <c r="AQ11" s="6">
        <f>V11*'Front page'!$E$3</f>
        <v>241879.8290101247</v>
      </c>
      <c r="AR11" s="6">
        <f>X11*'Front page'!$E$3</f>
        <v>0</v>
      </c>
      <c r="AS11" s="6">
        <f t="shared" si="7"/>
        <v>6049647.0956194354</v>
      </c>
      <c r="AT11" s="7">
        <f>IF(AS11&gt;'Funding Comparison'!D11*(1+'Front page'!$H$10),'Funding Comparison'!D11*(1+'Front page'!$H$10),AS11)</f>
        <v>0</v>
      </c>
    </row>
    <row r="12" spans="1:46">
      <c r="A12" t="str">
        <f t="shared" si="0"/>
        <v>044</v>
      </c>
      <c r="B12">
        <f t="shared" si="2"/>
        <v>44</v>
      </c>
      <c r="C12" s="14" t="s">
        <v>20</v>
      </c>
      <c r="D12">
        <f>IF(settings!$G$4=0,'Student Enrollment Data'!AX13,'Student Enrollment Data'!CK13)</f>
        <v>340.5</v>
      </c>
      <c r="E12">
        <f>IF(settings!$G$4=0,'Student Enrollment Data'!AY13,'Student Enrollment Data'!CL13)</f>
        <v>98.5</v>
      </c>
      <c r="F12">
        <f>IF(settings!$G$4=0,'Student Enrollment Data'!AZ13,'Student Enrollment Data'!CM13)</f>
        <v>125</v>
      </c>
      <c r="G12" s="23">
        <f>'Student Enrollment Data'!BK13</f>
        <v>76</v>
      </c>
      <c r="H12">
        <f>'Student Enrollment Data'!BF13</f>
        <v>151.78</v>
      </c>
      <c r="I12">
        <f>SUM('Student Enrollment Data'!R13:X13,'Student Enrollment Data'!AQ13:AW13)</f>
        <v>0</v>
      </c>
      <c r="J12">
        <f>'Student Enrollment Data'!BS13</f>
        <v>0</v>
      </c>
      <c r="K12">
        <f t="shared" si="3"/>
        <v>34.050000000000004</v>
      </c>
      <c r="M12" s="27">
        <f t="shared" si="1"/>
        <v>340.5</v>
      </c>
      <c r="N12" s="27">
        <f>E12*'Front page'!$B$20</f>
        <v>9.8500000000000014</v>
      </c>
      <c r="O12" s="27">
        <f>F12*'Front page'!$B$21</f>
        <v>12.5</v>
      </c>
      <c r="P12">
        <f>G12*'Front page'!$B$18</f>
        <v>7.6000000000000005</v>
      </c>
      <c r="Q12" s="27">
        <f>IF(settings!$B$4=0,Calculations!H12,Calculations!I12) *'Front page'!$B$11</f>
        <v>15.178000000000001</v>
      </c>
      <c r="R12" s="28">
        <f>ROUND(I12*'Front page'!$B$9,2)</f>
        <v>0</v>
      </c>
      <c r="S12" s="27">
        <f>J12*'Front page'!$B$14</f>
        <v>0</v>
      </c>
      <c r="T12" s="81">
        <f>'Front page'!$B$16*Calculations!K12</f>
        <v>0.68100000000000005</v>
      </c>
      <c r="U12" s="81">
        <f>IF(settings!$B$13=0,(Calculations!M12*'Economic Adjustment'!O11)-Calculations!M12,0)</f>
        <v>0</v>
      </c>
      <c r="V12" s="154">
        <f>VLOOKUP(B12,'Remote School Building Weight'!$M$2:$P$174,3,FALSE)</f>
        <v>0</v>
      </c>
      <c r="W12" s="23">
        <f>'Small Dist Weight'!V11-Calculations!D12</f>
        <v>169.89399098746082</v>
      </c>
      <c r="X12" s="23">
        <f>IF(settings!$P$9=0,'Large District Weight'!H11*'Large District Weight'!G11,0)</f>
        <v>0</v>
      </c>
      <c r="Y12" s="23">
        <f t="shared" si="4"/>
        <v>556.20299098746091</v>
      </c>
      <c r="Z12" s="23">
        <f>IF(settings!$F$13=0,'Teacher Exp'!L12,0)</f>
        <v>0</v>
      </c>
      <c r="AA12" s="23">
        <f t="shared" si="5"/>
        <v>556.20299098746091</v>
      </c>
      <c r="AC12" s="24">
        <f>'Student Enrollment Data'!BU13</f>
        <v>0</v>
      </c>
      <c r="AD12" s="24">
        <f t="shared" si="6"/>
        <v>34.050000000000004</v>
      </c>
      <c r="AE12" s="24">
        <f>AD12*'Front page'!$B$16</f>
        <v>0.68100000000000005</v>
      </c>
      <c r="AG12" s="6">
        <f>M12*'Front page'!$E$3</f>
        <v>1671758.524290374</v>
      </c>
      <c r="AH12" s="6">
        <f>N12*'Front page'!$E$3</f>
        <v>48360.709146138579</v>
      </c>
      <c r="AI12" s="6">
        <f>O12*'Front page'!$E$3</f>
        <v>61371.458307282453</v>
      </c>
      <c r="AJ12" s="6">
        <f>P12*'Front page'!$E$3</f>
        <v>37313.846650827734</v>
      </c>
      <c r="AK12" s="6">
        <f>Q12*'Front page'!$E$3</f>
        <v>74519.679535034651</v>
      </c>
      <c r="AL12" s="6">
        <f>S12*'Front page'!$E$3</f>
        <v>0</v>
      </c>
      <c r="AM12" s="5">
        <f>Z12*'Front page'!$E$3</f>
        <v>0</v>
      </c>
      <c r="AN12" s="6">
        <f>T12*'Front page'!$E$3</f>
        <v>3343.5170485807485</v>
      </c>
      <c r="AO12" s="6">
        <f>U12*'Front page'!$E$3</f>
        <v>0</v>
      </c>
      <c r="AP12" s="6">
        <f>W12*'Front page'!$E$3</f>
        <v>834131.35876358184</v>
      </c>
      <c r="AQ12" s="6">
        <f>V12*'Front page'!$E$3</f>
        <v>0</v>
      </c>
      <c r="AR12" s="6">
        <f>X12*'Front page'!$E$3</f>
        <v>0</v>
      </c>
      <c r="AS12" s="6">
        <f t="shared" si="7"/>
        <v>2730799.0937418202</v>
      </c>
      <c r="AT12" s="7">
        <f>IF(AS12&gt;'Funding Comparison'!D12*(1+'Front page'!$H$10),'Funding Comparison'!D12*(1+'Front page'!$H$10),AS12)</f>
        <v>0</v>
      </c>
    </row>
    <row r="13" spans="1:46">
      <c r="A13" t="str">
        <f t="shared" si="0"/>
        <v>052</v>
      </c>
      <c r="B13">
        <f t="shared" si="2"/>
        <v>52</v>
      </c>
      <c r="C13" s="14" t="s">
        <v>21</v>
      </c>
      <c r="D13">
        <f>IF(settings!$G$4=0,'Student Enrollment Data'!AX14,'Student Enrollment Data'!CK14)</f>
        <v>1705.5</v>
      </c>
      <c r="E13">
        <f>IF(settings!$G$4=0,'Student Enrollment Data'!AY14,'Student Enrollment Data'!CL14)</f>
        <v>451.5</v>
      </c>
      <c r="F13">
        <f>IF(settings!$G$4=0,'Student Enrollment Data'!AZ14,'Student Enrollment Data'!CM14)</f>
        <v>551</v>
      </c>
      <c r="G13" s="23">
        <f>'Student Enrollment Data'!BK14</f>
        <v>183</v>
      </c>
      <c r="H13">
        <f>'Student Enrollment Data'!BF14</f>
        <v>606</v>
      </c>
      <c r="I13">
        <f>SUM('Student Enrollment Data'!R14:X14,'Student Enrollment Data'!AQ14:AW14)</f>
        <v>0</v>
      </c>
      <c r="J13">
        <f>'Student Enrollment Data'!BS14</f>
        <v>183</v>
      </c>
      <c r="K13">
        <f t="shared" si="3"/>
        <v>170.55</v>
      </c>
      <c r="M13" s="27">
        <f t="shared" si="1"/>
        <v>1705.5</v>
      </c>
      <c r="N13" s="27">
        <f>E13*'Front page'!$B$20</f>
        <v>45.150000000000006</v>
      </c>
      <c r="O13" s="27">
        <f>F13*'Front page'!$B$21</f>
        <v>55.1</v>
      </c>
      <c r="P13">
        <f>G13*'Front page'!$B$18</f>
        <v>18.3</v>
      </c>
      <c r="Q13" s="27">
        <f>IF(settings!$B$4=0,Calculations!H13,Calculations!I13) *'Front page'!$B$11</f>
        <v>60.6</v>
      </c>
      <c r="R13" s="28">
        <f>ROUND(I13*'Front page'!$B$9,2)</f>
        <v>0</v>
      </c>
      <c r="S13" s="27">
        <f>J13*'Front page'!$B$14</f>
        <v>18.3</v>
      </c>
      <c r="T13" s="81">
        <f>'Front page'!$B$16*Calculations!K13</f>
        <v>3.4110000000000005</v>
      </c>
      <c r="U13" s="81">
        <f>IF(settings!$B$13=0,(Calculations!M13*'Economic Adjustment'!O12)-Calculations!M13,0)</f>
        <v>0</v>
      </c>
      <c r="V13" s="154">
        <f>VLOOKUP(B13,'Remote School Building Weight'!$M$2:$P$174,3,FALSE)</f>
        <v>0</v>
      </c>
      <c r="W13" s="23">
        <f>'Small Dist Weight'!V12-Calculations!D13</f>
        <v>16.667844827586578</v>
      </c>
      <c r="X13" s="23">
        <f>IF(settings!$P$9=0,'Large District Weight'!H12*'Large District Weight'!G12,0)</f>
        <v>0</v>
      </c>
      <c r="Y13" s="23">
        <f t="shared" si="4"/>
        <v>1923.0288448275865</v>
      </c>
      <c r="Z13" s="23">
        <f>IF(settings!$F$13=0,'Teacher Exp'!L13,0)</f>
        <v>0</v>
      </c>
      <c r="AA13" s="23">
        <f t="shared" si="5"/>
        <v>1923.0288448275865</v>
      </c>
      <c r="AC13" s="24">
        <f>'Student Enrollment Data'!BU14</f>
        <v>92</v>
      </c>
      <c r="AD13" s="24">
        <f t="shared" si="6"/>
        <v>170.55</v>
      </c>
      <c r="AE13" s="24">
        <f>AD13*'Front page'!$B$16</f>
        <v>3.4110000000000005</v>
      </c>
      <c r="AG13" s="6">
        <f>M13*'Front page'!$E$3</f>
        <v>8373521.771445618</v>
      </c>
      <c r="AH13" s="6">
        <f>N13*'Front page'!$E$3</f>
        <v>221673.70740590425</v>
      </c>
      <c r="AI13" s="6">
        <f>O13*'Front page'!$E$3</f>
        <v>270525.38821850106</v>
      </c>
      <c r="AJ13" s="6">
        <f>P13*'Front page'!$E$3</f>
        <v>89847.814961861513</v>
      </c>
      <c r="AK13" s="6">
        <f>Q13*'Front page'!$E$3</f>
        <v>297528.82987370534</v>
      </c>
      <c r="AL13" s="6">
        <f>S13*'Front page'!$E$3</f>
        <v>89847.814961861513</v>
      </c>
      <c r="AM13" s="5">
        <f>Z13*'Front page'!$E$3</f>
        <v>0</v>
      </c>
      <c r="AN13" s="6">
        <f>T13*'Front page'!$E$3</f>
        <v>16747.043542891239</v>
      </c>
      <c r="AO13" s="6">
        <f>U13*'Front page'!$E$3</f>
        <v>0</v>
      </c>
      <c r="AP13" s="6">
        <f>W13*'Front page'!$E$3</f>
        <v>81834.39551267866</v>
      </c>
      <c r="AQ13" s="6">
        <f>V13*'Front page'!$E$3</f>
        <v>0</v>
      </c>
      <c r="AR13" s="6">
        <f>X13*'Front page'!$E$3</f>
        <v>0</v>
      </c>
      <c r="AS13" s="6">
        <f t="shared" si="7"/>
        <v>9441526.7659230232</v>
      </c>
      <c r="AT13" s="7">
        <f>IF(AS13&gt;'Funding Comparison'!D13*(1+'Front page'!$H$10),'Funding Comparison'!D13*(1+'Front page'!$H$10),AS13)</f>
        <v>0</v>
      </c>
    </row>
    <row r="14" spans="1:46">
      <c r="A14" t="str">
        <f t="shared" si="0"/>
        <v>055</v>
      </c>
      <c r="B14">
        <f t="shared" si="2"/>
        <v>55</v>
      </c>
      <c r="C14" s="14" t="s">
        <v>22</v>
      </c>
      <c r="D14">
        <f>IF(settings!$G$4=0,'Student Enrollment Data'!AX15,'Student Enrollment Data'!CK15)</f>
        <v>3660.8044754901962</v>
      </c>
      <c r="E14">
        <f>IF(settings!$G$4=0,'Student Enrollment Data'!AY15,'Student Enrollment Data'!CL15)</f>
        <v>889.5</v>
      </c>
      <c r="F14">
        <f>IF(settings!$G$4=0,'Student Enrollment Data'!AZ15,'Student Enrollment Data'!CM15)</f>
        <v>1246.9632990196078</v>
      </c>
      <c r="G14" s="23">
        <f>'Student Enrollment Data'!BK15</f>
        <v>464</v>
      </c>
      <c r="H14">
        <f>'Student Enrollment Data'!BF15</f>
        <v>2259</v>
      </c>
      <c r="I14">
        <f>SUM('Student Enrollment Data'!R15:X15,'Student Enrollment Data'!AQ15:AW15)</f>
        <v>178.30824167275807</v>
      </c>
      <c r="J14">
        <f>'Student Enrollment Data'!BS15</f>
        <v>515</v>
      </c>
      <c r="K14">
        <f t="shared" si="3"/>
        <v>366.08044754901965</v>
      </c>
      <c r="M14" s="27">
        <f t="shared" si="1"/>
        <v>3660.8044754901962</v>
      </c>
      <c r="N14" s="27">
        <f>E14*'Front page'!$B$20</f>
        <v>88.95</v>
      </c>
      <c r="O14" s="27">
        <f>F14*'Front page'!$B$21</f>
        <v>124.69632990196078</v>
      </c>
      <c r="P14">
        <f>G14*'Front page'!$B$18</f>
        <v>46.400000000000006</v>
      </c>
      <c r="Q14" s="27">
        <f>IF(settings!$B$4=0,Calculations!H14,Calculations!I14) *'Front page'!$B$11</f>
        <v>225.9</v>
      </c>
      <c r="R14" s="28">
        <f>ROUND(I14*'Front page'!$B$9,2)</f>
        <v>0</v>
      </c>
      <c r="S14" s="27">
        <f>J14*'Front page'!$B$14</f>
        <v>51.5</v>
      </c>
      <c r="T14" s="81">
        <f>'Front page'!$B$16*Calculations!K14</f>
        <v>7.3216089509803934</v>
      </c>
      <c r="U14" s="81">
        <f>IF(settings!$B$13=0,(Calculations!M14*'Economic Adjustment'!O13)-Calculations!M14,0)</f>
        <v>0</v>
      </c>
      <c r="V14" s="154">
        <f>VLOOKUP(B14,'Remote School Building Weight'!$M$2:$P$174,3,FALSE)</f>
        <v>50.857204357814403</v>
      </c>
      <c r="W14" s="23">
        <f>'Small Dist Weight'!V13-Calculations!D14</f>
        <v>0</v>
      </c>
      <c r="X14" s="23">
        <f>IF(settings!$P$9=0,'Large District Weight'!H13*'Large District Weight'!G13,0)</f>
        <v>0</v>
      </c>
      <c r="Y14" s="23">
        <f t="shared" si="4"/>
        <v>4256.4296187009513</v>
      </c>
      <c r="Z14" s="23">
        <f>IF(settings!$F$13=0,'Teacher Exp'!L14,0)</f>
        <v>0</v>
      </c>
      <c r="AA14" s="23">
        <f t="shared" si="5"/>
        <v>4256.4296187009513</v>
      </c>
      <c r="AC14" s="24">
        <f>'Student Enrollment Data'!BU15</f>
        <v>210</v>
      </c>
      <c r="AD14" s="24">
        <f t="shared" si="6"/>
        <v>366.08044754901965</v>
      </c>
      <c r="AE14" s="24">
        <f>AD14*'Front page'!$B$16</f>
        <v>7.3216089509803934</v>
      </c>
      <c r="AG14" s="6">
        <f>M14*'Front page'!$E$3</f>
        <v>17973512.739092767</v>
      </c>
      <c r="AH14" s="6">
        <f>N14*'Front page'!$E$3</f>
        <v>436719.29731462197</v>
      </c>
      <c r="AI14" s="6">
        <f>O14*'Front page'!$E$3</f>
        <v>612223.64893194591</v>
      </c>
      <c r="AJ14" s="6">
        <f>P14*'Front page'!$E$3</f>
        <v>227810.85323663251</v>
      </c>
      <c r="AK14" s="6">
        <f>Q14*'Front page'!$E$3</f>
        <v>1109104.9945292086</v>
      </c>
      <c r="AL14" s="6">
        <f>S14*'Front page'!$E$3</f>
        <v>252850.40822600372</v>
      </c>
      <c r="AM14" s="5">
        <f>Z14*'Front page'!$E$3</f>
        <v>0</v>
      </c>
      <c r="AN14" s="6">
        <f>T14*'Front page'!$E$3</f>
        <v>35947.02547818554</v>
      </c>
      <c r="AO14" s="6">
        <f>U14*'Front page'!$E$3</f>
        <v>0</v>
      </c>
      <c r="AP14" s="6">
        <f>W14*'Front page'!$E$3</f>
        <v>0</v>
      </c>
      <c r="AQ14" s="6">
        <f>V14*'Front page'!$E$3</f>
        <v>249694.46374964403</v>
      </c>
      <c r="AR14" s="6">
        <f>X14*'Front page'!$E$3</f>
        <v>0</v>
      </c>
      <c r="AS14" s="6">
        <f t="shared" si="7"/>
        <v>20897863.430559009</v>
      </c>
      <c r="AT14" s="7">
        <f>IF(AS14&gt;'Funding Comparison'!D14*(1+'Front page'!$H$10),'Funding Comparison'!D14*(1+'Front page'!$H$10),AS14)</f>
        <v>0</v>
      </c>
    </row>
    <row r="15" spans="1:46">
      <c r="A15" t="str">
        <f t="shared" si="0"/>
        <v>058</v>
      </c>
      <c r="B15">
        <f t="shared" si="2"/>
        <v>58</v>
      </c>
      <c r="C15" s="14" t="s">
        <v>23</v>
      </c>
      <c r="D15">
        <f>IF(settings!$G$4=0,'Student Enrollment Data'!AX16,'Student Enrollment Data'!CK16)</f>
        <v>702</v>
      </c>
      <c r="E15">
        <f>IF(settings!$G$4=0,'Student Enrollment Data'!AY16,'Student Enrollment Data'!CL16)</f>
        <v>195</v>
      </c>
      <c r="F15">
        <f>IF(settings!$G$4=0,'Student Enrollment Data'!AZ16,'Student Enrollment Data'!CM16)</f>
        <v>209</v>
      </c>
      <c r="G15" s="23">
        <f>'Student Enrollment Data'!BK16</f>
        <v>127</v>
      </c>
      <c r="H15">
        <f>'Student Enrollment Data'!BF16</f>
        <v>314.31</v>
      </c>
      <c r="I15">
        <f>SUM('Student Enrollment Data'!R16:X16,'Student Enrollment Data'!AQ16:AW16)</f>
        <v>0</v>
      </c>
      <c r="J15">
        <f>'Student Enrollment Data'!BS16</f>
        <v>219</v>
      </c>
      <c r="K15">
        <f t="shared" si="3"/>
        <v>70.2</v>
      </c>
      <c r="M15" s="27">
        <f t="shared" si="1"/>
        <v>702</v>
      </c>
      <c r="N15" s="27">
        <f>E15*'Front page'!$B$20</f>
        <v>19.5</v>
      </c>
      <c r="O15" s="27">
        <f>F15*'Front page'!$B$21</f>
        <v>20.900000000000002</v>
      </c>
      <c r="P15">
        <f>G15*'Front page'!$B$18</f>
        <v>12.700000000000001</v>
      </c>
      <c r="Q15" s="27">
        <f>IF(settings!$B$4=0,Calculations!H15,Calculations!I15) *'Front page'!$B$11</f>
        <v>31.431000000000001</v>
      </c>
      <c r="R15" s="28">
        <f>ROUND(I15*'Front page'!$B$9,2)</f>
        <v>0</v>
      </c>
      <c r="S15" s="27">
        <f>J15*'Front page'!$B$14</f>
        <v>21.900000000000002</v>
      </c>
      <c r="T15" s="81">
        <f>'Front page'!$B$16*Calculations!K15</f>
        <v>1.4040000000000001</v>
      </c>
      <c r="U15" s="81">
        <f>IF(settings!$B$13=0,(Calculations!M15*'Economic Adjustment'!O14)-Calculations!M15,0)</f>
        <v>0</v>
      </c>
      <c r="V15" s="154">
        <f>VLOOKUP(B15,'Remote School Building Weight'!$M$2:$P$174,3,FALSE)</f>
        <v>0</v>
      </c>
      <c r="W15" s="23">
        <f>'Small Dist Weight'!V14-Calculations!D15</f>
        <v>148.58405172413791</v>
      </c>
      <c r="X15" s="23">
        <f>IF(settings!$P$9=0,'Large District Weight'!H14*'Large District Weight'!G14,0)</f>
        <v>0</v>
      </c>
      <c r="Y15" s="23">
        <f t="shared" si="4"/>
        <v>958.41905172413794</v>
      </c>
      <c r="Z15" s="23">
        <f>IF(settings!$F$13=0,'Teacher Exp'!L15,0)</f>
        <v>0</v>
      </c>
      <c r="AA15" s="23">
        <f t="shared" si="5"/>
        <v>958.41905172413794</v>
      </c>
      <c r="AC15" s="24">
        <f>'Student Enrollment Data'!BU16</f>
        <v>31</v>
      </c>
      <c r="AD15" s="24">
        <f t="shared" si="6"/>
        <v>70.2</v>
      </c>
      <c r="AE15" s="24">
        <f>AD15*'Front page'!$B$16</f>
        <v>1.4040000000000001</v>
      </c>
      <c r="AG15" s="6">
        <f>M15*'Front page'!$E$3</f>
        <v>3446621.0985369827</v>
      </c>
      <c r="AH15" s="6">
        <f>N15*'Front page'!$E$3</f>
        <v>95739.474959360625</v>
      </c>
      <c r="AI15" s="6">
        <f>O15*'Front page'!$E$3</f>
        <v>102613.07828977627</v>
      </c>
      <c r="AJ15" s="6">
        <f>P15*'Front page'!$E$3</f>
        <v>62353.401640198979</v>
      </c>
      <c r="AK15" s="6">
        <f>Q15*'Front page'!$E$3</f>
        <v>154317.3044844956</v>
      </c>
      <c r="AL15" s="6">
        <f>S15*'Front page'!$E$3</f>
        <v>107522.79495435888</v>
      </c>
      <c r="AM15" s="5">
        <f>Z15*'Front page'!$E$3</f>
        <v>0</v>
      </c>
      <c r="AN15" s="6">
        <f>T15*'Front page'!$E$3</f>
        <v>6893.2421970739661</v>
      </c>
      <c r="AO15" s="6">
        <f>U15*'Front page'!$E$3</f>
        <v>0</v>
      </c>
      <c r="AP15" s="6">
        <f>W15*'Front page'!$E$3</f>
        <v>729505.59484120237</v>
      </c>
      <c r="AQ15" s="6">
        <f>V15*'Front page'!$E$3</f>
        <v>0</v>
      </c>
      <c r="AR15" s="6">
        <f>X15*'Front page'!$E$3</f>
        <v>0</v>
      </c>
      <c r="AS15" s="6">
        <f t="shared" si="7"/>
        <v>4705565.9899034491</v>
      </c>
      <c r="AT15" s="7">
        <f>IF(AS15&gt;'Funding Comparison'!D15*(1+'Front page'!$H$10),'Funding Comparison'!D15*(1+'Front page'!$H$10),AS15)</f>
        <v>0</v>
      </c>
    </row>
    <row r="16" spans="1:46">
      <c r="A16" t="str">
        <f t="shared" si="0"/>
        <v>059</v>
      </c>
      <c r="B16">
        <f t="shared" si="2"/>
        <v>59</v>
      </c>
      <c r="C16" s="14" t="s">
        <v>24</v>
      </c>
      <c r="D16">
        <f>IF(settings!$G$4=0,'Student Enrollment Data'!AX17,'Student Enrollment Data'!CK17)</f>
        <v>811</v>
      </c>
      <c r="E16">
        <f>IF(settings!$G$4=0,'Student Enrollment Data'!AY17,'Student Enrollment Data'!CL17)</f>
        <v>227</v>
      </c>
      <c r="F16">
        <f>IF(settings!$G$4=0,'Student Enrollment Data'!AZ17,'Student Enrollment Data'!CM17)</f>
        <v>248</v>
      </c>
      <c r="G16" s="23">
        <f>'Student Enrollment Data'!BK17</f>
        <v>58</v>
      </c>
      <c r="H16">
        <f>'Student Enrollment Data'!BF17</f>
        <v>397</v>
      </c>
      <c r="I16">
        <f>SUM('Student Enrollment Data'!R17:X17,'Student Enrollment Data'!AQ17:AW17)</f>
        <v>0</v>
      </c>
      <c r="J16">
        <f>'Student Enrollment Data'!BS17</f>
        <v>0</v>
      </c>
      <c r="K16">
        <f t="shared" si="3"/>
        <v>81.100000000000009</v>
      </c>
      <c r="M16" s="27">
        <f t="shared" si="1"/>
        <v>811</v>
      </c>
      <c r="N16" s="27">
        <f>E16*'Front page'!$B$20</f>
        <v>22.700000000000003</v>
      </c>
      <c r="O16" s="27">
        <f>F16*'Front page'!$B$21</f>
        <v>24.8</v>
      </c>
      <c r="P16">
        <f>G16*'Front page'!$B$18</f>
        <v>5.8000000000000007</v>
      </c>
      <c r="Q16" s="27">
        <f>IF(settings!$B$4=0,Calculations!H16,Calculations!I16) *'Front page'!$B$11</f>
        <v>39.700000000000003</v>
      </c>
      <c r="R16" s="28">
        <f>ROUND(I16*'Front page'!$B$9,2)</f>
        <v>0</v>
      </c>
      <c r="S16" s="27">
        <f>J16*'Front page'!$B$14</f>
        <v>0</v>
      </c>
      <c r="T16" s="81">
        <f>'Front page'!$B$16*Calculations!K16</f>
        <v>1.6220000000000001</v>
      </c>
      <c r="U16" s="81">
        <f>IF(settings!$B$13=0,(Calculations!M16*'Economic Adjustment'!O15)-Calculations!M16,0)</f>
        <v>0</v>
      </c>
      <c r="V16" s="154">
        <f>VLOOKUP(B16,'Remote School Building Weight'!$M$2:$P$174,3,FALSE)</f>
        <v>0</v>
      </c>
      <c r="W16" s="23">
        <f>'Small Dist Weight'!V15-Calculations!D16</f>
        <v>134.14655172413791</v>
      </c>
      <c r="X16" s="23">
        <f>IF(settings!$P$9=0,'Large District Weight'!H15*'Large District Weight'!G15,0)</f>
        <v>0</v>
      </c>
      <c r="Y16" s="23">
        <f t="shared" si="4"/>
        <v>1039.768551724138</v>
      </c>
      <c r="Z16" s="23">
        <f>IF(settings!$F$13=0,'Teacher Exp'!L16,0)</f>
        <v>0</v>
      </c>
      <c r="AA16" s="23">
        <f t="shared" si="5"/>
        <v>1039.768551724138</v>
      </c>
      <c r="AC16" s="24">
        <f>'Student Enrollment Data'!BU17</f>
        <v>0</v>
      </c>
      <c r="AD16" s="24">
        <f t="shared" si="6"/>
        <v>81.100000000000009</v>
      </c>
      <c r="AE16" s="24">
        <f>AD16*'Front page'!$B$16</f>
        <v>1.6220000000000001</v>
      </c>
      <c r="AG16" s="6">
        <f>M16*'Front page'!$E$3</f>
        <v>3981780.2149764858</v>
      </c>
      <c r="AH16" s="6">
        <f>N16*'Front page'!$E$3</f>
        <v>111450.56828602495</v>
      </c>
      <c r="AI16" s="6">
        <f>O16*'Front page'!$E$3</f>
        <v>121760.97328164839</v>
      </c>
      <c r="AJ16" s="6">
        <f>P16*'Front page'!$E$3</f>
        <v>28476.356654579064</v>
      </c>
      <c r="AK16" s="6">
        <f>Q16*'Front page'!$E$3</f>
        <v>194915.75158392909</v>
      </c>
      <c r="AL16" s="6">
        <f>S16*'Front page'!$E$3</f>
        <v>0</v>
      </c>
      <c r="AM16" s="5">
        <f>Z16*'Front page'!$E$3</f>
        <v>0</v>
      </c>
      <c r="AN16" s="6">
        <f>T16*'Front page'!$E$3</f>
        <v>7963.5604299529723</v>
      </c>
      <c r="AO16" s="6">
        <f>U16*'Front page'!$E$3</f>
        <v>0</v>
      </c>
      <c r="AP16" s="6">
        <f>W16*'Front page'!$E$3</f>
        <v>658621.56049629115</v>
      </c>
      <c r="AQ16" s="6">
        <f>V16*'Front page'!$E$3</f>
        <v>0</v>
      </c>
      <c r="AR16" s="6">
        <f>X16*'Front page'!$E$3</f>
        <v>0</v>
      </c>
      <c r="AS16" s="6">
        <f t="shared" si="7"/>
        <v>5104968.985708911</v>
      </c>
      <c r="AT16" s="7">
        <f>IF(AS16&gt;'Funding Comparison'!D16*(1+'Front page'!$H$10),'Funding Comparison'!D16*(1+'Front page'!$H$10),AS16)</f>
        <v>249928.1715</v>
      </c>
    </row>
    <row r="17" spans="1:46">
      <c r="A17" t="str">
        <f t="shared" si="0"/>
        <v>060</v>
      </c>
      <c r="B17">
        <f t="shared" si="2"/>
        <v>60</v>
      </c>
      <c r="C17" s="14" t="s">
        <v>25</v>
      </c>
      <c r="D17">
        <f>IF(settings!$G$4=0,'Student Enrollment Data'!AX18,'Student Enrollment Data'!CK18)</f>
        <v>2241</v>
      </c>
      <c r="E17">
        <f>IF(settings!$G$4=0,'Student Enrollment Data'!AY18,'Student Enrollment Data'!CL18)</f>
        <v>652</v>
      </c>
      <c r="F17">
        <f>IF(settings!$G$4=0,'Student Enrollment Data'!AZ18,'Student Enrollment Data'!CM18)</f>
        <v>657</v>
      </c>
      <c r="G17" s="23">
        <f>'Student Enrollment Data'!BK18</f>
        <v>244</v>
      </c>
      <c r="H17">
        <f>'Student Enrollment Data'!BF18</f>
        <v>1013</v>
      </c>
      <c r="I17">
        <f>SUM('Student Enrollment Data'!R18:X18,'Student Enrollment Data'!AQ18:AW18)</f>
        <v>0</v>
      </c>
      <c r="J17">
        <f>'Student Enrollment Data'!BS18</f>
        <v>109</v>
      </c>
      <c r="K17">
        <f t="shared" si="3"/>
        <v>224.10000000000002</v>
      </c>
      <c r="M17" s="27">
        <f t="shared" si="1"/>
        <v>2241</v>
      </c>
      <c r="N17" s="27">
        <f>E17*'Front page'!$B$20</f>
        <v>65.2</v>
      </c>
      <c r="O17" s="27">
        <f>F17*'Front page'!$B$21</f>
        <v>65.7</v>
      </c>
      <c r="P17">
        <f>G17*'Front page'!$B$18</f>
        <v>24.400000000000002</v>
      </c>
      <c r="Q17" s="27">
        <f>IF(settings!$B$4=0,Calculations!H17,Calculations!I17) *'Front page'!$B$11</f>
        <v>101.30000000000001</v>
      </c>
      <c r="R17" s="28">
        <f>ROUND(I17*'Front page'!$B$9,2)</f>
        <v>0</v>
      </c>
      <c r="S17" s="27">
        <f>J17*'Front page'!$B$14</f>
        <v>10.9</v>
      </c>
      <c r="T17" s="81">
        <f>'Front page'!$B$16*Calculations!K17</f>
        <v>4.4820000000000002</v>
      </c>
      <c r="U17" s="81">
        <f>IF(settings!$B$13=0,(Calculations!M17*'Economic Adjustment'!O16)-Calculations!M17,0)</f>
        <v>0</v>
      </c>
      <c r="V17" s="154">
        <f>VLOOKUP(B17,'Remote School Building Weight'!$M$2:$P$174,3,FALSE)</f>
        <v>0</v>
      </c>
      <c r="W17" s="23">
        <f>'Small Dist Weight'!V16-Calculations!D17</f>
        <v>0</v>
      </c>
      <c r="X17" s="23">
        <f>IF(settings!$P$9=0,'Large District Weight'!H16*'Large District Weight'!G16,0)</f>
        <v>0</v>
      </c>
      <c r="Y17" s="23">
        <f t="shared" si="4"/>
        <v>2512.982</v>
      </c>
      <c r="Z17" s="23">
        <f>IF(settings!$F$13=0,'Teacher Exp'!L17,0)</f>
        <v>0</v>
      </c>
      <c r="AA17" s="23">
        <f t="shared" si="5"/>
        <v>2512.982</v>
      </c>
      <c r="AC17" s="24">
        <f>'Student Enrollment Data'!BU18</f>
        <v>99</v>
      </c>
      <c r="AD17" s="24">
        <f t="shared" si="6"/>
        <v>224.10000000000002</v>
      </c>
      <c r="AE17" s="24">
        <f>AD17*'Front page'!$B$16</f>
        <v>4.4820000000000002</v>
      </c>
      <c r="AG17" s="6">
        <f>M17*'Front page'!$E$3</f>
        <v>11002675.045329599</v>
      </c>
      <c r="AH17" s="6">
        <f>N17*'Front page'!$E$3</f>
        <v>320113.52653078531</v>
      </c>
      <c r="AI17" s="6">
        <f>O17*'Front page'!$E$3</f>
        <v>322568.38486307662</v>
      </c>
      <c r="AJ17" s="6">
        <f>P17*'Front page'!$E$3</f>
        <v>119797.08661581537</v>
      </c>
      <c r="AK17" s="6">
        <f>Q17*'Front page'!$E$3</f>
        <v>497354.29812221706</v>
      </c>
      <c r="AL17" s="6">
        <f>S17*'Front page'!$E$3</f>
        <v>53515.911643950305</v>
      </c>
      <c r="AM17" s="5">
        <f>Z17*'Front page'!$E$3</f>
        <v>0</v>
      </c>
      <c r="AN17" s="6">
        <f>T17*'Front page'!$E$3</f>
        <v>22005.350090659198</v>
      </c>
      <c r="AO17" s="6">
        <f>U17*'Front page'!$E$3</f>
        <v>0</v>
      </c>
      <c r="AP17" s="6">
        <f>W17*'Front page'!$E$3</f>
        <v>0</v>
      </c>
      <c r="AQ17" s="6">
        <f>V17*'Front page'!$E$3</f>
        <v>0</v>
      </c>
      <c r="AR17" s="6">
        <f>X17*'Front page'!$E$3</f>
        <v>0</v>
      </c>
      <c r="AS17" s="6">
        <f t="shared" si="7"/>
        <v>12338029.603196103</v>
      </c>
      <c r="AT17" s="7">
        <f>IF(AS17&gt;'Funding Comparison'!D17*(1+'Front page'!$H$10),'Funding Comparison'!D17*(1+'Front page'!$H$10),AS17)</f>
        <v>152281.45800000004</v>
      </c>
    </row>
    <row r="18" spans="1:46">
      <c r="A18" t="str">
        <f t="shared" si="0"/>
        <v>061</v>
      </c>
      <c r="B18">
        <f t="shared" si="2"/>
        <v>61</v>
      </c>
      <c r="C18" s="14" t="s">
        <v>26</v>
      </c>
      <c r="D18">
        <f>IF(settings!$G$4=0,'Student Enrollment Data'!AX19,'Student Enrollment Data'!CK19)</f>
        <v>3258.5</v>
      </c>
      <c r="E18">
        <f>IF(settings!$G$4=0,'Student Enrollment Data'!AY19,'Student Enrollment Data'!CL19)</f>
        <v>791.5</v>
      </c>
      <c r="F18">
        <f>IF(settings!$G$4=0,'Student Enrollment Data'!AZ19,'Student Enrollment Data'!CM19)</f>
        <v>1065</v>
      </c>
      <c r="G18" s="23">
        <f>'Student Enrollment Data'!BK19</f>
        <v>410</v>
      </c>
      <c r="H18">
        <f>'Student Enrollment Data'!BF19</f>
        <v>988</v>
      </c>
      <c r="I18">
        <f>SUM('Student Enrollment Data'!R19:X19,'Student Enrollment Data'!AQ19:AW19)</f>
        <v>52.775182280470588</v>
      </c>
      <c r="J18">
        <f>'Student Enrollment Data'!BS19</f>
        <v>773</v>
      </c>
      <c r="K18">
        <f t="shared" si="3"/>
        <v>325.85000000000002</v>
      </c>
      <c r="M18" s="27">
        <f t="shared" si="1"/>
        <v>3258.5</v>
      </c>
      <c r="N18" s="27">
        <f>E18*'Front page'!$B$20</f>
        <v>79.150000000000006</v>
      </c>
      <c r="O18" s="27">
        <f>F18*'Front page'!$B$21</f>
        <v>106.5</v>
      </c>
      <c r="P18">
        <f>G18*'Front page'!$B$18</f>
        <v>41</v>
      </c>
      <c r="Q18" s="27">
        <f>IF(settings!$B$4=0,Calculations!H18,Calculations!I18) *'Front page'!$B$11</f>
        <v>98.800000000000011</v>
      </c>
      <c r="R18" s="28">
        <f>ROUND(I18*'Front page'!$B$9,2)</f>
        <v>0</v>
      </c>
      <c r="S18" s="27">
        <f>J18*'Front page'!$B$14</f>
        <v>77.300000000000011</v>
      </c>
      <c r="T18" s="81">
        <f>'Front page'!$B$16*Calculations!K18</f>
        <v>6.5170000000000003</v>
      </c>
      <c r="U18" s="81">
        <f>IF(settings!$B$13=0,(Calculations!M18*'Economic Adjustment'!O17)-Calculations!M18,0)</f>
        <v>0</v>
      </c>
      <c r="V18" s="154">
        <f>VLOOKUP(B18,'Remote School Building Weight'!$M$2:$P$174,3,FALSE)</f>
        <v>35.242585078586131</v>
      </c>
      <c r="W18" s="23">
        <f>'Small Dist Weight'!V17-Calculations!D18</f>
        <v>0</v>
      </c>
      <c r="X18" s="23">
        <f>IF(settings!$P$9=0,'Large District Weight'!H17*'Large District Weight'!G17,0)</f>
        <v>0</v>
      </c>
      <c r="Y18" s="23">
        <f t="shared" si="4"/>
        <v>3703.0095850785865</v>
      </c>
      <c r="Z18" s="23">
        <f>IF(settings!$F$13=0,'Teacher Exp'!L18,0)</f>
        <v>0</v>
      </c>
      <c r="AA18" s="23">
        <f t="shared" si="5"/>
        <v>3703.0095850785865</v>
      </c>
      <c r="AC18" s="24">
        <f>'Student Enrollment Data'!BU19</f>
        <v>249</v>
      </c>
      <c r="AD18" s="24">
        <f t="shared" si="6"/>
        <v>325.85000000000002</v>
      </c>
      <c r="AE18" s="24">
        <f>AD18*'Front page'!$B$16</f>
        <v>6.5170000000000003</v>
      </c>
      <c r="AG18" s="6">
        <f>M18*'Front page'!$E$3</f>
        <v>15998311.751542391</v>
      </c>
      <c r="AH18" s="6">
        <f>N18*'Front page'!$E$3</f>
        <v>388604.07400171255</v>
      </c>
      <c r="AI18" s="6">
        <f>O18*'Front page'!$E$3</f>
        <v>522884.82477804652</v>
      </c>
      <c r="AJ18" s="6">
        <f>P18*'Front page'!$E$3</f>
        <v>201298.38324788646</v>
      </c>
      <c r="AK18" s="6">
        <f>Q18*'Front page'!$E$3</f>
        <v>485080.0064607606</v>
      </c>
      <c r="AL18" s="6">
        <f>S18*'Front page'!$E$3</f>
        <v>379521.09817223478</v>
      </c>
      <c r="AM18" s="5">
        <f>Z18*'Front page'!$E$3</f>
        <v>0</v>
      </c>
      <c r="AN18" s="6">
        <f>T18*'Front page'!$E$3</f>
        <v>31996.623503084782</v>
      </c>
      <c r="AO18" s="6">
        <f>U18*'Front page'!$E$3</f>
        <v>0</v>
      </c>
      <c r="AP18" s="6">
        <f>W18*'Front page'!$E$3</f>
        <v>0</v>
      </c>
      <c r="AQ18" s="6">
        <f>V18*'Front page'!$E$3</f>
        <v>173031.10726330429</v>
      </c>
      <c r="AR18" s="6">
        <f>X18*'Front page'!$E$3</f>
        <v>0</v>
      </c>
      <c r="AS18" s="6">
        <f t="shared" si="7"/>
        <v>18180727.868969422</v>
      </c>
      <c r="AT18" s="7">
        <f>IF(AS18&gt;'Funding Comparison'!D18*(1+'Front page'!$H$10),'Funding Comparison'!D18*(1+'Front page'!$H$10),AS18)</f>
        <v>157598.8995</v>
      </c>
    </row>
    <row r="19" spans="1:46">
      <c r="A19" t="str">
        <f t="shared" si="0"/>
        <v>071</v>
      </c>
      <c r="B19">
        <f t="shared" si="2"/>
        <v>71</v>
      </c>
      <c r="C19" s="14" t="s">
        <v>27</v>
      </c>
      <c r="D19">
        <f>IF(settings!$G$4=0,'Student Enrollment Data'!AX20,'Student Enrollment Data'!CK20)</f>
        <v>239</v>
      </c>
      <c r="E19">
        <f>IF(settings!$G$4=0,'Student Enrollment Data'!AY20,'Student Enrollment Data'!CL20)</f>
        <v>68</v>
      </c>
      <c r="F19">
        <f>IF(settings!$G$4=0,'Student Enrollment Data'!AZ20,'Student Enrollment Data'!CM20)</f>
        <v>68</v>
      </c>
      <c r="G19" s="23">
        <f>'Student Enrollment Data'!BK20</f>
        <v>32</v>
      </c>
      <c r="H19">
        <f>'Student Enrollment Data'!BF20</f>
        <v>107</v>
      </c>
      <c r="I19">
        <f>SUM('Student Enrollment Data'!R20:X20,'Student Enrollment Data'!AQ20:AW20)</f>
        <v>0</v>
      </c>
      <c r="J19">
        <f>'Student Enrollment Data'!BS20</f>
        <v>0</v>
      </c>
      <c r="K19">
        <f t="shared" si="3"/>
        <v>23.900000000000002</v>
      </c>
      <c r="M19" s="27">
        <f t="shared" si="1"/>
        <v>239</v>
      </c>
      <c r="N19" s="27">
        <f>E19*'Front page'!$B$20</f>
        <v>6.8000000000000007</v>
      </c>
      <c r="O19" s="27">
        <f>F19*'Front page'!$B$21</f>
        <v>6.8000000000000007</v>
      </c>
      <c r="P19">
        <f>G19*'Front page'!$B$18</f>
        <v>3.2</v>
      </c>
      <c r="Q19" s="27">
        <f>IF(settings!$B$4=0,Calculations!H19,Calculations!I19) *'Front page'!$B$11</f>
        <v>10.700000000000001</v>
      </c>
      <c r="R19" s="28">
        <f>ROUND(I19*'Front page'!$B$9,2)</f>
        <v>0</v>
      </c>
      <c r="S19" s="27">
        <f>J19*'Front page'!$B$14</f>
        <v>0</v>
      </c>
      <c r="T19" s="81">
        <f>'Front page'!$B$16*Calculations!K19</f>
        <v>0.47800000000000004</v>
      </c>
      <c r="U19" s="81">
        <f>IF(settings!$B$13=0,(Calculations!M19*'Economic Adjustment'!O18)-Calculations!M19,0)</f>
        <v>0</v>
      </c>
      <c r="V19" s="154">
        <f>VLOOKUP(B19,'Remote School Building Weight'!$M$2:$P$174,3,FALSE)</f>
        <v>5.3832413793103493</v>
      </c>
      <c r="W19" s="23">
        <f>'Small Dist Weight'!V18-Calculations!D19</f>
        <v>147.06336206896549</v>
      </c>
      <c r="X19" s="23">
        <f>IF(settings!$P$9=0,'Large District Weight'!H18*'Large District Weight'!G18,0)</f>
        <v>0</v>
      </c>
      <c r="Y19" s="23">
        <f t="shared" si="4"/>
        <v>419.42460344827583</v>
      </c>
      <c r="Z19" s="23">
        <f>IF(settings!$F$13=0,'Teacher Exp'!L19,0)</f>
        <v>0</v>
      </c>
      <c r="AA19" s="23">
        <f t="shared" si="5"/>
        <v>419.42460344827583</v>
      </c>
      <c r="AC19" s="24">
        <f>'Student Enrollment Data'!BU20</f>
        <v>4</v>
      </c>
      <c r="AD19" s="24">
        <f t="shared" si="6"/>
        <v>23.900000000000002</v>
      </c>
      <c r="AE19" s="24">
        <f>AD19*'Front page'!$B$16</f>
        <v>0.47800000000000004</v>
      </c>
      <c r="AG19" s="6">
        <f>M19*'Front page'!$E$3</f>
        <v>1173422.2828352405</v>
      </c>
      <c r="AH19" s="6">
        <f>N19*'Front page'!$E$3</f>
        <v>33386.07331916166</v>
      </c>
      <c r="AI19" s="6">
        <f>O19*'Front page'!$E$3</f>
        <v>33386.07331916166</v>
      </c>
      <c r="AJ19" s="6">
        <f>P19*'Front page'!$E$3</f>
        <v>15711.09332666431</v>
      </c>
      <c r="AK19" s="6">
        <f>Q19*'Front page'!$E$3</f>
        <v>52533.968311033786</v>
      </c>
      <c r="AL19" s="6">
        <f>S19*'Front page'!$E$3</f>
        <v>0</v>
      </c>
      <c r="AM19" s="5">
        <f>Z19*'Front page'!$E$3</f>
        <v>0</v>
      </c>
      <c r="AN19" s="6">
        <f>T19*'Front page'!$E$3</f>
        <v>2346.8445656704812</v>
      </c>
      <c r="AO19" s="6">
        <f>U19*'Front page'!$E$3</f>
        <v>0</v>
      </c>
      <c r="AP19" s="6">
        <f>W19*'Front page'!$E$3</f>
        <v>722039.43949954398</v>
      </c>
      <c r="AQ19" s="6">
        <f>V19*'Front page'!$E$3</f>
        <v>26430.189909470624</v>
      </c>
      <c r="AR19" s="6">
        <f>X19*'Front page'!$E$3</f>
        <v>0</v>
      </c>
      <c r="AS19" s="6">
        <f t="shared" si="7"/>
        <v>2059255.9650859472</v>
      </c>
      <c r="AT19" s="7">
        <f>IF(AS19&gt;'Funding Comparison'!D19*(1+'Front page'!$H$10),'Funding Comparison'!D19*(1+'Front page'!$H$10),AS19)</f>
        <v>2059255.9650859472</v>
      </c>
    </row>
    <row r="20" spans="1:46">
      <c r="A20" t="str">
        <f t="shared" si="0"/>
        <v>072</v>
      </c>
      <c r="B20">
        <f t="shared" si="2"/>
        <v>72</v>
      </c>
      <c r="C20" s="14" t="s">
        <v>28</v>
      </c>
      <c r="D20">
        <f>IF(settings!$G$4=0,'Student Enrollment Data'!AX21,'Student Enrollment Data'!CK21)</f>
        <v>327.5</v>
      </c>
      <c r="E20">
        <f>IF(settings!$G$4=0,'Student Enrollment Data'!AY21,'Student Enrollment Data'!CL21)</f>
        <v>67.5</v>
      </c>
      <c r="F20">
        <f>IF(settings!$G$4=0,'Student Enrollment Data'!AZ21,'Student Enrollment Data'!CM21)</f>
        <v>133</v>
      </c>
      <c r="G20" s="23">
        <f>'Student Enrollment Data'!BK21</f>
        <v>45</v>
      </c>
      <c r="H20">
        <f>'Student Enrollment Data'!BF21</f>
        <v>127</v>
      </c>
      <c r="I20">
        <f>SUM('Student Enrollment Data'!R21:X21,'Student Enrollment Data'!AQ21:AW21)</f>
        <v>0</v>
      </c>
      <c r="J20">
        <f>'Student Enrollment Data'!BS21</f>
        <v>0</v>
      </c>
      <c r="K20">
        <f t="shared" si="3"/>
        <v>32.75</v>
      </c>
      <c r="M20" s="27">
        <f t="shared" si="1"/>
        <v>327.5</v>
      </c>
      <c r="N20" s="27">
        <f>E20*'Front page'!$B$20</f>
        <v>6.75</v>
      </c>
      <c r="O20" s="27">
        <f>F20*'Front page'!$B$21</f>
        <v>13.3</v>
      </c>
      <c r="P20">
        <f>G20*'Front page'!$B$18</f>
        <v>4.5</v>
      </c>
      <c r="Q20" s="27">
        <f>IF(settings!$B$4=0,Calculations!H20,Calculations!I20) *'Front page'!$B$11</f>
        <v>12.700000000000001</v>
      </c>
      <c r="R20" s="28">
        <f>ROUND(I20*'Front page'!$B$9,2)</f>
        <v>0</v>
      </c>
      <c r="S20" s="27">
        <f>J20*'Front page'!$B$14</f>
        <v>0</v>
      </c>
      <c r="T20" s="81">
        <f>'Front page'!$B$16*Calculations!K20</f>
        <v>0.65500000000000003</v>
      </c>
      <c r="U20" s="81">
        <f>IF(settings!$B$13=0,(Calculations!M20*'Economic Adjustment'!O19)-Calculations!M20,0)</f>
        <v>0</v>
      </c>
      <c r="V20" s="154">
        <f>VLOOKUP(B20,'Remote School Building Weight'!$M$2:$P$174,3,FALSE)</f>
        <v>0</v>
      </c>
      <c r="W20" s="23">
        <f>'Small Dist Weight'!V19-Calculations!D20</f>
        <v>186.35422217868336</v>
      </c>
      <c r="X20" s="23">
        <f>IF(settings!$P$9=0,'Large District Weight'!H19*'Large District Weight'!G19,0)</f>
        <v>0</v>
      </c>
      <c r="Y20" s="23">
        <f t="shared" si="4"/>
        <v>551.75922217868333</v>
      </c>
      <c r="Z20" s="23">
        <f>IF(settings!$F$13=0,'Teacher Exp'!L20,0)</f>
        <v>0</v>
      </c>
      <c r="AA20" s="23">
        <f t="shared" si="5"/>
        <v>551.75922217868333</v>
      </c>
      <c r="AC20" s="24">
        <f>'Student Enrollment Data'!BU21</f>
        <v>6</v>
      </c>
      <c r="AD20" s="24">
        <f t="shared" si="6"/>
        <v>32.75</v>
      </c>
      <c r="AE20" s="24">
        <f>AD20*'Front page'!$B$16</f>
        <v>0.65500000000000003</v>
      </c>
      <c r="AG20" s="6">
        <f>M20*'Front page'!$E$3</f>
        <v>1607932.2076508002</v>
      </c>
      <c r="AH20" s="6">
        <f>N20*'Front page'!$E$3</f>
        <v>33140.587485932527</v>
      </c>
      <c r="AI20" s="6">
        <f>O20*'Front page'!$E$3</f>
        <v>65299.231638948535</v>
      </c>
      <c r="AJ20" s="6">
        <f>P20*'Front page'!$E$3</f>
        <v>22093.724990621682</v>
      </c>
      <c r="AK20" s="6">
        <f>Q20*'Front page'!$E$3</f>
        <v>62353.401640198979</v>
      </c>
      <c r="AL20" s="6">
        <f>S20*'Front page'!$E$3</f>
        <v>0</v>
      </c>
      <c r="AM20" s="5">
        <f>Z20*'Front page'!$E$3</f>
        <v>0</v>
      </c>
      <c r="AN20" s="6">
        <f>T20*'Front page'!$E$3</f>
        <v>3215.8644153016007</v>
      </c>
      <c r="AO20" s="6">
        <f>U20*'Front page'!$E$3</f>
        <v>0</v>
      </c>
      <c r="AP20" s="6">
        <f>W20*'Front page'!$E$3</f>
        <v>914946.43014600943</v>
      </c>
      <c r="AQ20" s="6">
        <f>V20*'Front page'!$E$3</f>
        <v>0</v>
      </c>
      <c r="AR20" s="6">
        <f>X20*'Front page'!$E$3</f>
        <v>0</v>
      </c>
      <c r="AS20" s="6">
        <f t="shared" si="7"/>
        <v>2708981.4479678129</v>
      </c>
      <c r="AT20" s="7">
        <f>IF(AS20&gt;'Funding Comparison'!D20*(1+'Front page'!$H$10),'Funding Comparison'!D20*(1+'Front page'!$H$10),AS20)</f>
        <v>2708981.4479678129</v>
      </c>
    </row>
    <row r="21" spans="1:46">
      <c r="A21" t="str">
        <f t="shared" si="0"/>
        <v>073</v>
      </c>
      <c r="B21">
        <f t="shared" si="2"/>
        <v>73</v>
      </c>
      <c r="C21" s="14" t="s">
        <v>29</v>
      </c>
      <c r="D21">
        <f>IF(settings!$G$4=0,'Student Enrollment Data'!AX22,'Student Enrollment Data'!CK22)</f>
        <v>220</v>
      </c>
      <c r="E21">
        <f>IF(settings!$G$4=0,'Student Enrollment Data'!AY22,'Student Enrollment Data'!CL22)</f>
        <v>55</v>
      </c>
      <c r="F21">
        <f>IF(settings!$G$4=0,'Student Enrollment Data'!AZ22,'Student Enrollment Data'!CM22)</f>
        <v>76</v>
      </c>
      <c r="G21" s="23">
        <f>'Student Enrollment Data'!BK22</f>
        <v>35</v>
      </c>
      <c r="H21">
        <f>'Student Enrollment Data'!BF22</f>
        <v>95</v>
      </c>
      <c r="I21">
        <f>SUM('Student Enrollment Data'!R22:X22,'Student Enrollment Data'!AQ22:AW22)</f>
        <v>0</v>
      </c>
      <c r="J21">
        <f>'Student Enrollment Data'!BS22</f>
        <v>18.296119866885128</v>
      </c>
      <c r="K21">
        <f t="shared" si="3"/>
        <v>22</v>
      </c>
      <c r="M21" s="27">
        <f t="shared" si="1"/>
        <v>220</v>
      </c>
      <c r="N21" s="27">
        <f>E21*'Front page'!$B$20</f>
        <v>5.5</v>
      </c>
      <c r="O21" s="27">
        <f>F21*'Front page'!$B$21</f>
        <v>7.6000000000000005</v>
      </c>
      <c r="P21">
        <f>G21*'Front page'!$B$18</f>
        <v>3.5</v>
      </c>
      <c r="Q21" s="27">
        <f>IF(settings!$B$4=0,Calculations!H21,Calculations!I21) *'Front page'!$B$11</f>
        <v>9.5</v>
      </c>
      <c r="R21" s="28">
        <f>ROUND(I21*'Front page'!$B$9,2)</f>
        <v>0</v>
      </c>
      <c r="S21" s="27">
        <f>J21*'Front page'!$B$14</f>
        <v>1.829611986688513</v>
      </c>
      <c r="T21" s="81">
        <f>'Front page'!$B$16*Calculations!K21</f>
        <v>0.44</v>
      </c>
      <c r="U21" s="81">
        <f>IF(settings!$B$13=0,(Calculations!M21*'Economic Adjustment'!O20)-Calculations!M21,0)</f>
        <v>0</v>
      </c>
      <c r="V21" s="154">
        <f>VLOOKUP(B21,'Remote School Building Weight'!$M$2:$P$174,3,FALSE)</f>
        <v>0</v>
      </c>
      <c r="W21" s="23">
        <f>'Small Dist Weight'!V20-Calculations!D21</f>
        <v>154.4388714733542</v>
      </c>
      <c r="X21" s="23">
        <f>IF(settings!$P$9=0,'Large District Weight'!H20*'Large District Weight'!G20,0)</f>
        <v>0</v>
      </c>
      <c r="Y21" s="23">
        <f t="shared" si="4"/>
        <v>402.80848346004268</v>
      </c>
      <c r="Z21" s="23">
        <f>IF(settings!$F$13=0,'Teacher Exp'!L21,0)</f>
        <v>0</v>
      </c>
      <c r="AA21" s="23">
        <f t="shared" si="5"/>
        <v>402.80848346004268</v>
      </c>
      <c r="AC21" s="24">
        <f>'Student Enrollment Data'!BU22</f>
        <v>0</v>
      </c>
      <c r="AD21" s="24">
        <f t="shared" si="6"/>
        <v>22</v>
      </c>
      <c r="AE21" s="24">
        <f>AD21*'Front page'!$B$16</f>
        <v>0.44</v>
      </c>
      <c r="AG21" s="6">
        <f>M21*'Front page'!$E$3</f>
        <v>1080137.6662081713</v>
      </c>
      <c r="AH21" s="6">
        <f>N21*'Front page'!$E$3</f>
        <v>27003.441655204282</v>
      </c>
      <c r="AI21" s="6">
        <f>O21*'Front page'!$E$3</f>
        <v>37313.846650827734</v>
      </c>
      <c r="AJ21" s="6">
        <f>P21*'Front page'!$E$3</f>
        <v>17184.008326039089</v>
      </c>
      <c r="AK21" s="6">
        <f>Q21*'Front page'!$E$3</f>
        <v>46642.308313534668</v>
      </c>
      <c r="AL21" s="6">
        <f>S21*'Front page'!$E$3</f>
        <v>8982.8764607646644</v>
      </c>
      <c r="AM21" s="5">
        <f>Z21*'Front page'!$E$3</f>
        <v>0</v>
      </c>
      <c r="AN21" s="6">
        <f>T21*'Front page'!$E$3</f>
        <v>2160.2753324163423</v>
      </c>
      <c r="AO21" s="6">
        <f>U21*'Front page'!$E$3</f>
        <v>0</v>
      </c>
      <c r="AP21" s="6">
        <f>W21*'Front page'!$E$3</f>
        <v>758251.1009320569</v>
      </c>
      <c r="AQ21" s="6">
        <f>V21*'Front page'!$E$3</f>
        <v>0</v>
      </c>
      <c r="AR21" s="6">
        <f>X21*'Front page'!$E$3</f>
        <v>0</v>
      </c>
      <c r="AS21" s="6">
        <f t="shared" si="7"/>
        <v>1977675.5238790149</v>
      </c>
      <c r="AT21" s="7">
        <f>IF(AS21&gt;'Funding Comparison'!D21*(1+'Front page'!$H$10),'Funding Comparison'!D21*(1+'Front page'!$H$10),AS21)</f>
        <v>197711.22</v>
      </c>
    </row>
    <row r="22" spans="1:46">
      <c r="A22" t="str">
        <f t="shared" si="0"/>
        <v>083</v>
      </c>
      <c r="B22">
        <f t="shared" si="2"/>
        <v>83</v>
      </c>
      <c r="C22" s="14" t="s">
        <v>30</v>
      </c>
      <c r="D22">
        <f>IF(settings!$G$4=0,'Student Enrollment Data'!AX23,'Student Enrollment Data'!CK23)</f>
        <v>941.27499999999998</v>
      </c>
      <c r="E22">
        <f>IF(settings!$G$4=0,'Student Enrollment Data'!AY23,'Student Enrollment Data'!CL23)</f>
        <v>252</v>
      </c>
      <c r="F22">
        <f>IF(settings!$G$4=0,'Student Enrollment Data'!AZ23,'Student Enrollment Data'!CM23)</f>
        <v>296.27499999999998</v>
      </c>
      <c r="G22" s="23">
        <f>'Student Enrollment Data'!BK23</f>
        <v>160</v>
      </c>
      <c r="H22">
        <f>'Student Enrollment Data'!BF23</f>
        <v>509</v>
      </c>
      <c r="I22">
        <f>SUM('Student Enrollment Data'!R23:X23,'Student Enrollment Data'!AQ23:AW23)</f>
        <v>19.550291925465849</v>
      </c>
      <c r="J22">
        <f>'Student Enrollment Data'!BS23</f>
        <v>0</v>
      </c>
      <c r="K22">
        <f t="shared" si="3"/>
        <v>94.127499999999998</v>
      </c>
      <c r="M22" s="27">
        <f t="shared" si="1"/>
        <v>941.27499999999998</v>
      </c>
      <c r="N22" s="27">
        <f>E22*'Front page'!$B$20</f>
        <v>25.200000000000003</v>
      </c>
      <c r="O22" s="27">
        <f>F22*'Front page'!$B$21</f>
        <v>29.627499999999998</v>
      </c>
      <c r="P22">
        <f>G22*'Front page'!$B$18</f>
        <v>16</v>
      </c>
      <c r="Q22" s="27">
        <f>IF(settings!$B$4=0,Calculations!H22,Calculations!I22) *'Front page'!$B$11</f>
        <v>50.900000000000006</v>
      </c>
      <c r="R22" s="28">
        <f>ROUND(I22*'Front page'!$B$9,2)</f>
        <v>0</v>
      </c>
      <c r="S22" s="27">
        <f>J22*'Front page'!$B$14</f>
        <v>0</v>
      </c>
      <c r="T22" s="81">
        <f>'Front page'!$B$16*Calculations!K22</f>
        <v>1.8825499999999999</v>
      </c>
      <c r="U22" s="81">
        <f>IF(settings!$B$13=0,(Calculations!M22*'Economic Adjustment'!O21)-Calculations!M22,0)</f>
        <v>0</v>
      </c>
      <c r="V22" s="154">
        <f>VLOOKUP(B22,'Remote School Building Weight'!$M$2:$P$174,3,FALSE)</f>
        <v>36.94995351605391</v>
      </c>
      <c r="W22" s="23">
        <f>'Small Dist Weight'!V21-Calculations!D22</f>
        <v>114.14617850215529</v>
      </c>
      <c r="X22" s="23">
        <f>IF(settings!$P$9=0,'Large District Weight'!H21*'Large District Weight'!G21,0)</f>
        <v>0</v>
      </c>
      <c r="Y22" s="23">
        <f t="shared" si="4"/>
        <v>1215.9811820182094</v>
      </c>
      <c r="Z22" s="23">
        <f>IF(settings!$F$13=0,'Teacher Exp'!L22,0)</f>
        <v>0</v>
      </c>
      <c r="AA22" s="23">
        <f t="shared" si="5"/>
        <v>1215.9811820182094</v>
      </c>
      <c r="AC22" s="24">
        <f>'Student Enrollment Data'!BU23</f>
        <v>49</v>
      </c>
      <c r="AD22" s="24">
        <f t="shared" si="6"/>
        <v>94.127499999999998</v>
      </c>
      <c r="AE22" s="24">
        <f>AD22*'Front page'!$B$16</f>
        <v>1.8825499999999999</v>
      </c>
      <c r="AG22" s="6">
        <f>M22*'Front page'!$E$3</f>
        <v>4621393.553454983</v>
      </c>
      <c r="AH22" s="6">
        <f>N22*'Front page'!$E$3</f>
        <v>123724.85994748144</v>
      </c>
      <c r="AI22" s="6">
        <f>O22*'Front page'!$E$3</f>
        <v>145462.63047992086</v>
      </c>
      <c r="AJ22" s="6">
        <f>P22*'Front page'!$E$3</f>
        <v>78555.466633321543</v>
      </c>
      <c r="AK22" s="6">
        <f>Q22*'Front page'!$E$3</f>
        <v>249904.57822725418</v>
      </c>
      <c r="AL22" s="6">
        <f>S22*'Front page'!$E$3</f>
        <v>0</v>
      </c>
      <c r="AM22" s="5">
        <f>Z22*'Front page'!$E$3</f>
        <v>0</v>
      </c>
      <c r="AN22" s="6">
        <f>T22*'Front page'!$E$3</f>
        <v>9242.7871069099674</v>
      </c>
      <c r="AO22" s="6">
        <f>U22*'Front page'!$E$3</f>
        <v>0</v>
      </c>
      <c r="AP22" s="6">
        <f>W22*'Front page'!$E$3</f>
        <v>560425.39479045151</v>
      </c>
      <c r="AQ22" s="6">
        <f>V22*'Front page'!$E$3</f>
        <v>181413.80253332219</v>
      </c>
      <c r="AR22" s="6">
        <f>X22*'Front page'!$E$3</f>
        <v>0</v>
      </c>
      <c r="AS22" s="6">
        <f t="shared" si="7"/>
        <v>5970123.073173645</v>
      </c>
      <c r="AT22" s="7">
        <f>IF(AS22&gt;'Funding Comparison'!D22*(1+'Front page'!$H$10),'Funding Comparison'!D22*(1+'Front page'!$H$10),AS22)</f>
        <v>1674559.7295000001</v>
      </c>
    </row>
    <row r="23" spans="1:46">
      <c r="A23" t="str">
        <f t="shared" si="0"/>
        <v>084</v>
      </c>
      <c r="B23">
        <f t="shared" si="2"/>
        <v>84</v>
      </c>
      <c r="C23" s="14" t="s">
        <v>31</v>
      </c>
      <c r="D23">
        <f>IF(settings!$G$4=0,'Student Enrollment Data'!AX24,'Student Enrollment Data'!CK24)</f>
        <v>3676.8495798319327</v>
      </c>
      <c r="E23">
        <f>IF(settings!$G$4=0,'Student Enrollment Data'!AY24,'Student Enrollment Data'!CL24)</f>
        <v>982</v>
      </c>
      <c r="F23">
        <f>IF(settings!$G$4=0,'Student Enrollment Data'!AZ24,'Student Enrollment Data'!CM24)</f>
        <v>1186.2350140056024</v>
      </c>
      <c r="G23" s="23">
        <f>'Student Enrollment Data'!BK24</f>
        <v>460</v>
      </c>
      <c r="H23">
        <f>'Student Enrollment Data'!BF24</f>
        <v>1272</v>
      </c>
      <c r="I23">
        <f>SUM('Student Enrollment Data'!R24:X24,'Student Enrollment Data'!AQ24:AW24)</f>
        <v>89.609994065448248</v>
      </c>
      <c r="J23">
        <f>'Student Enrollment Data'!BS24</f>
        <v>53</v>
      </c>
      <c r="K23">
        <f t="shared" si="3"/>
        <v>367.68495798319327</v>
      </c>
      <c r="M23" s="27">
        <f t="shared" si="1"/>
        <v>3676.8495798319327</v>
      </c>
      <c r="N23" s="27">
        <f>E23*'Front page'!$B$20</f>
        <v>98.2</v>
      </c>
      <c r="O23" s="27">
        <f>F23*'Front page'!$B$21</f>
        <v>118.62350140056024</v>
      </c>
      <c r="P23">
        <f>G23*'Front page'!$B$18</f>
        <v>46</v>
      </c>
      <c r="Q23" s="27">
        <f>IF(settings!$B$4=0,Calculations!H23,Calculations!I23) *'Front page'!$B$11</f>
        <v>127.2</v>
      </c>
      <c r="R23" s="28">
        <f>ROUND(I23*'Front page'!$B$9,2)</f>
        <v>0</v>
      </c>
      <c r="S23" s="27">
        <f>J23*'Front page'!$B$14</f>
        <v>5.3000000000000007</v>
      </c>
      <c r="T23" s="81">
        <f>'Front page'!$B$16*Calculations!K23</f>
        <v>7.3536991596638659</v>
      </c>
      <c r="U23" s="81">
        <f>IF(settings!$B$13=0,(Calculations!M23*'Economic Adjustment'!O22)-Calculations!M23,0)</f>
        <v>0</v>
      </c>
      <c r="V23" s="154">
        <f>VLOOKUP(B23,'Remote School Building Weight'!$M$2:$P$174,3,FALSE)</f>
        <v>114.88991732732602</v>
      </c>
      <c r="W23" s="23">
        <f>'Small Dist Weight'!V22-Calculations!D23</f>
        <v>0</v>
      </c>
      <c r="X23" s="23">
        <f>IF(settings!$P$9=0,'Large District Weight'!H22*'Large District Weight'!G22,0)</f>
        <v>0</v>
      </c>
      <c r="Y23" s="23">
        <f t="shared" si="4"/>
        <v>4194.4166977194827</v>
      </c>
      <c r="Z23" s="23">
        <f>IF(settings!$F$13=0,'Teacher Exp'!L23,0)</f>
        <v>0</v>
      </c>
      <c r="AA23" s="23">
        <f t="shared" si="5"/>
        <v>4194.4166977194827</v>
      </c>
      <c r="AC23" s="24">
        <f>'Student Enrollment Data'!BU24</f>
        <v>0</v>
      </c>
      <c r="AD23" s="24">
        <f t="shared" si="6"/>
        <v>367.68495798319327</v>
      </c>
      <c r="AE23" s="24">
        <f>AD23*'Front page'!$B$16</f>
        <v>7.3536991596638659</v>
      </c>
      <c r="AG23" s="6">
        <f>M23*'Front page'!$E$3</f>
        <v>18052289.655264359</v>
      </c>
      <c r="AH23" s="6">
        <f>N23*'Front page'!$E$3</f>
        <v>482134.176462011</v>
      </c>
      <c r="AI23" s="6">
        <f>O23*'Front page'!$E$3</f>
        <v>582407.78163746756</v>
      </c>
      <c r="AJ23" s="6">
        <f>P23*'Front page'!$E$3</f>
        <v>225846.96657079944</v>
      </c>
      <c r="AK23" s="6">
        <f>Q23*'Front page'!$E$3</f>
        <v>624515.95973490633</v>
      </c>
      <c r="AL23" s="6">
        <f>S23*'Front page'!$E$3</f>
        <v>26021.498322287764</v>
      </c>
      <c r="AM23" s="5">
        <f>Z23*'Front page'!$E$3</f>
        <v>0</v>
      </c>
      <c r="AN23" s="6">
        <f>T23*'Front page'!$E$3</f>
        <v>36104.579310528716</v>
      </c>
      <c r="AO23" s="6">
        <f>U23*'Front page'!$E$3</f>
        <v>0</v>
      </c>
      <c r="AP23" s="6">
        <f>W23*'Front page'!$E$3</f>
        <v>0</v>
      </c>
      <c r="AQ23" s="6">
        <f>V23*'Front page'!$E$3</f>
        <v>564076.94169448933</v>
      </c>
      <c r="AR23" s="6">
        <f>X23*'Front page'!$E$3</f>
        <v>0</v>
      </c>
      <c r="AS23" s="6">
        <f t="shared" si="7"/>
        <v>20593397.558996849</v>
      </c>
      <c r="AT23" s="7">
        <f>IF(AS23&gt;'Funding Comparison'!D23*(1+'Front page'!$H$10),'Funding Comparison'!D23*(1+'Front page'!$H$10),AS23)</f>
        <v>585016.2570000001</v>
      </c>
    </row>
    <row r="24" spans="1:46">
      <c r="A24" t="str">
        <f t="shared" si="0"/>
        <v>091</v>
      </c>
      <c r="B24">
        <f t="shared" si="2"/>
        <v>91</v>
      </c>
      <c r="C24" s="14" t="s">
        <v>32</v>
      </c>
      <c r="D24">
        <f>IF(settings!$G$4=0,'Student Enrollment Data'!AX25,'Student Enrollment Data'!CK25)</f>
        <v>9797.6269688203156</v>
      </c>
      <c r="E24">
        <f>IF(settings!$G$4=0,'Student Enrollment Data'!AY25,'Student Enrollment Data'!CL25)</f>
        <v>2572.5</v>
      </c>
      <c r="F24">
        <f>IF(settings!$G$4=0,'Student Enrollment Data'!AZ25,'Student Enrollment Data'!CM25)</f>
        <v>3199.6572243651558</v>
      </c>
      <c r="G24" s="23">
        <f>'Student Enrollment Data'!BK25</f>
        <v>1183</v>
      </c>
      <c r="H24">
        <f>'Student Enrollment Data'!BF25</f>
        <v>4472</v>
      </c>
      <c r="I24">
        <f>SUM('Student Enrollment Data'!R25:X25,'Student Enrollment Data'!AQ25:AW25)</f>
        <v>239.18222853054993</v>
      </c>
      <c r="J24">
        <f>'Student Enrollment Data'!BS25</f>
        <v>797</v>
      </c>
      <c r="K24">
        <f t="shared" si="3"/>
        <v>979.76269688203161</v>
      </c>
      <c r="M24" s="27">
        <f t="shared" si="1"/>
        <v>9797.6269688203156</v>
      </c>
      <c r="N24" s="27">
        <f>E24*'Front page'!$B$20</f>
        <v>257.25</v>
      </c>
      <c r="O24" s="27">
        <f>F24*'Front page'!$B$21</f>
        <v>319.96572243651559</v>
      </c>
      <c r="P24">
        <f>G24*'Front page'!$B$18</f>
        <v>118.30000000000001</v>
      </c>
      <c r="Q24" s="27">
        <f>IF(settings!$B$4=0,Calculations!H24,Calculations!I24) *'Front page'!$B$11</f>
        <v>447.20000000000005</v>
      </c>
      <c r="R24" s="28">
        <f>ROUND(I24*'Front page'!$B$9,2)</f>
        <v>0</v>
      </c>
      <c r="S24" s="27">
        <f>J24*'Front page'!$B$14</f>
        <v>79.7</v>
      </c>
      <c r="T24" s="81">
        <f>'Front page'!$B$16*Calculations!K24</f>
        <v>19.595253937640631</v>
      </c>
      <c r="U24" s="81">
        <f>IF(settings!$B$13=0,(Calculations!M24*'Economic Adjustment'!O23)-Calculations!M24,0)</f>
        <v>0</v>
      </c>
      <c r="V24" s="154">
        <f>VLOOKUP(B24,'Remote School Building Weight'!$M$2:$P$174,3,FALSE)</f>
        <v>0</v>
      </c>
      <c r="W24" s="23">
        <f>'Small Dist Weight'!V23-Calculations!D24</f>
        <v>0</v>
      </c>
      <c r="X24" s="23">
        <f>IF(settings!$P$9=0,'Large District Weight'!H23*'Large District Weight'!G23,0)</f>
        <v>0</v>
      </c>
      <c r="Y24" s="23">
        <f t="shared" si="4"/>
        <v>11039.637945194474</v>
      </c>
      <c r="Z24" s="23">
        <f>IF(settings!$F$13=0,'Teacher Exp'!L24,0)</f>
        <v>0</v>
      </c>
      <c r="AA24" s="23">
        <f t="shared" si="5"/>
        <v>11039.637945194474</v>
      </c>
      <c r="AC24" s="24">
        <f>'Student Enrollment Data'!BU25</f>
        <v>493</v>
      </c>
      <c r="AD24" s="24">
        <f t="shared" si="6"/>
        <v>979.76269688203161</v>
      </c>
      <c r="AE24" s="24">
        <f>AD24*'Front page'!$B$16</f>
        <v>19.595253937640631</v>
      </c>
      <c r="AG24" s="6">
        <f>M24*'Front page'!$E$3</f>
        <v>48103572.402180977</v>
      </c>
      <c r="AH24" s="6">
        <f>N24*'Front page'!$E$3</f>
        <v>1263024.611963873</v>
      </c>
      <c r="AI24" s="6">
        <f>O24*'Front page'!$E$3</f>
        <v>1570941.0395417702</v>
      </c>
      <c r="AJ24" s="6">
        <f>P24*'Front page'!$E$3</f>
        <v>580819.48142012116</v>
      </c>
      <c r="AK24" s="6">
        <f>Q24*'Front page'!$E$3</f>
        <v>2195625.2924013375</v>
      </c>
      <c r="AL24" s="6">
        <f>S24*'Front page'!$E$3</f>
        <v>391304.41816723294</v>
      </c>
      <c r="AM24" s="5">
        <f>Z24*'Front page'!$E$3</f>
        <v>0</v>
      </c>
      <c r="AN24" s="6">
        <f>T24*'Front page'!$E$3</f>
        <v>96207.144804361946</v>
      </c>
      <c r="AO24" s="6">
        <f>U24*'Front page'!$E$3</f>
        <v>0</v>
      </c>
      <c r="AP24" s="6">
        <f>W24*'Front page'!$E$3</f>
        <v>0</v>
      </c>
      <c r="AQ24" s="6">
        <f>V24*'Front page'!$E$3</f>
        <v>0</v>
      </c>
      <c r="AR24" s="6">
        <f>X24*'Front page'!$E$3</f>
        <v>0</v>
      </c>
      <c r="AS24" s="6">
        <f t="shared" si="7"/>
        <v>54201494.390479676</v>
      </c>
      <c r="AT24" s="7">
        <f>IF(AS24&gt;'Funding Comparison'!D24*(1+'Front page'!$H$10),'Funding Comparison'!D24*(1+'Front page'!$H$10),AS24)</f>
        <v>774797.13150000002</v>
      </c>
    </row>
    <row r="25" spans="1:46">
      <c r="A25" t="str">
        <f t="shared" si="0"/>
        <v>092</v>
      </c>
      <c r="B25">
        <f t="shared" si="2"/>
        <v>92</v>
      </c>
      <c r="C25" s="14" t="s">
        <v>33</v>
      </c>
      <c r="D25">
        <f>IF(settings!$G$4=0,'Student Enrollment Data'!AX26,'Student Enrollment Data'!CK26)</f>
        <v>40.5</v>
      </c>
      <c r="E25">
        <f>IF(settings!$G$4=0,'Student Enrollment Data'!AY26,'Student Enrollment Data'!CL26)</f>
        <v>13.5</v>
      </c>
      <c r="F25">
        <f>IF(settings!$G$4=0,'Student Enrollment Data'!AZ26,'Student Enrollment Data'!CM26)</f>
        <v>0</v>
      </c>
      <c r="G25" s="23">
        <f>'Student Enrollment Data'!BK26</f>
        <v>10</v>
      </c>
      <c r="H25">
        <f>'Student Enrollment Data'!BF26</f>
        <v>22</v>
      </c>
      <c r="I25">
        <f>SUM('Student Enrollment Data'!R26:X26,'Student Enrollment Data'!AQ26:AW26)</f>
        <v>0</v>
      </c>
      <c r="J25">
        <f>'Student Enrollment Data'!BS26</f>
        <v>0</v>
      </c>
      <c r="K25">
        <f t="shared" si="3"/>
        <v>4.05</v>
      </c>
      <c r="M25" s="27">
        <f t="shared" si="1"/>
        <v>40.5</v>
      </c>
      <c r="N25" s="27">
        <f>E25*'Front page'!$B$20</f>
        <v>1.35</v>
      </c>
      <c r="O25" s="27">
        <f>F25*'Front page'!$B$21</f>
        <v>0</v>
      </c>
      <c r="P25">
        <f>G25*'Front page'!$B$18</f>
        <v>1</v>
      </c>
      <c r="Q25" s="27">
        <f>IF(settings!$B$4=0,Calculations!H25,Calculations!I25) *'Front page'!$B$11</f>
        <v>2.2000000000000002</v>
      </c>
      <c r="R25" s="28">
        <f>ROUND(I25*'Front page'!$B$9,2)</f>
        <v>0</v>
      </c>
      <c r="S25" s="27">
        <f>J25*'Front page'!$B$14</f>
        <v>0</v>
      </c>
      <c r="T25" s="81">
        <f>'Front page'!$B$16*Calculations!K25</f>
        <v>8.1000000000000003E-2</v>
      </c>
      <c r="U25" s="81">
        <f>IF(settings!$B$13=0,(Calculations!M25*'Economic Adjustment'!O24)-Calculations!M25,0)</f>
        <v>0</v>
      </c>
      <c r="V25" s="154">
        <f>VLOOKUP(B25,'Remote School Building Weight'!$M$2:$P$174,3,FALSE)</f>
        <v>0</v>
      </c>
      <c r="W25" s="23">
        <f>'Small Dist Weight'!V24-Calculations!D25</f>
        <v>37.789261363636356</v>
      </c>
      <c r="X25" s="23">
        <f>IF(settings!$P$9=0,'Large District Weight'!H24*'Large District Weight'!G24,0)</f>
        <v>0</v>
      </c>
      <c r="Y25" s="23">
        <f t="shared" si="4"/>
        <v>82.920261363636371</v>
      </c>
      <c r="Z25" s="23">
        <f>IF(settings!$F$13=0,'Teacher Exp'!L25,0)</f>
        <v>0</v>
      </c>
      <c r="AA25" s="23">
        <f t="shared" si="5"/>
        <v>82.920261363636371</v>
      </c>
      <c r="AC25" s="24">
        <f>'Student Enrollment Data'!BU26</f>
        <v>0</v>
      </c>
      <c r="AD25" s="24">
        <f t="shared" si="6"/>
        <v>4.05</v>
      </c>
      <c r="AE25" s="24">
        <f>AD25*'Front page'!$B$16</f>
        <v>8.1000000000000003E-2</v>
      </c>
      <c r="AG25" s="6">
        <f>M25*'Front page'!$E$3</f>
        <v>198843.52491559516</v>
      </c>
      <c r="AH25" s="6">
        <f>N25*'Front page'!$E$3</f>
        <v>6628.1174971865057</v>
      </c>
      <c r="AI25" s="6">
        <f>O25*'Front page'!$E$3</f>
        <v>0</v>
      </c>
      <c r="AJ25" s="6">
        <f>P25*'Front page'!$E$3</f>
        <v>4909.7166645825964</v>
      </c>
      <c r="AK25" s="6">
        <f>Q25*'Front page'!$E$3</f>
        <v>10801.376662081713</v>
      </c>
      <c r="AL25" s="6">
        <f>S25*'Front page'!$E$3</f>
        <v>0</v>
      </c>
      <c r="AM25" s="5">
        <f>Z25*'Front page'!$E$3</f>
        <v>0</v>
      </c>
      <c r="AN25" s="6">
        <f>T25*'Front page'!$E$3</f>
        <v>397.68704983119034</v>
      </c>
      <c r="AO25" s="6">
        <f>U25*'Front page'!$E$3</f>
        <v>0</v>
      </c>
      <c r="AP25" s="6">
        <f>W25*'Front page'!$E$3</f>
        <v>185534.56625931268</v>
      </c>
      <c r="AQ25" s="6">
        <f>V25*'Front page'!$E$3</f>
        <v>0</v>
      </c>
      <c r="AR25" s="6">
        <f>X25*'Front page'!$E$3</f>
        <v>0</v>
      </c>
      <c r="AS25" s="6">
        <f t="shared" si="7"/>
        <v>407114.98904858984</v>
      </c>
      <c r="AT25" s="7">
        <f>IF(AS25&gt;'Funding Comparison'!D25*(1+'Front page'!$H$10),'Funding Comparison'!D25*(1+'Front page'!$H$10),AS25)</f>
        <v>407114.98904858984</v>
      </c>
    </row>
    <row r="26" spans="1:46">
      <c r="A26" t="str">
        <f t="shared" si="0"/>
        <v>093</v>
      </c>
      <c r="B26">
        <f t="shared" si="2"/>
        <v>93</v>
      </c>
      <c r="C26" s="14" t="s">
        <v>34</v>
      </c>
      <c r="D26">
        <f>IF(settings!$G$4=0,'Student Enrollment Data'!AX27,'Student Enrollment Data'!CK27)</f>
        <v>12340.201470588236</v>
      </c>
      <c r="E26">
        <f>IF(settings!$G$4=0,'Student Enrollment Data'!AY27,'Student Enrollment Data'!CL27)</f>
        <v>3292.5</v>
      </c>
      <c r="F26">
        <f>IF(settings!$G$4=0,'Student Enrollment Data'!AZ27,'Student Enrollment Data'!CM27)</f>
        <v>3921.7014705882352</v>
      </c>
      <c r="G26" s="23">
        <f>'Student Enrollment Data'!BK27</f>
        <v>1399</v>
      </c>
      <c r="H26">
        <f>'Student Enrollment Data'!BF27</f>
        <v>4228</v>
      </c>
      <c r="I26">
        <f>SUM('Student Enrollment Data'!R27:X27,'Student Enrollment Data'!AQ27:AW27)</f>
        <v>111.7722407503252</v>
      </c>
      <c r="J26">
        <f>'Student Enrollment Data'!BS27</f>
        <v>721</v>
      </c>
      <c r="K26">
        <f t="shared" si="3"/>
        <v>1234.0201470588236</v>
      </c>
      <c r="M26" s="27">
        <f t="shared" si="1"/>
        <v>12340.201470588236</v>
      </c>
      <c r="N26" s="27">
        <f>E26*'Front page'!$B$20</f>
        <v>329.25</v>
      </c>
      <c r="O26" s="27">
        <f>F26*'Front page'!$B$21</f>
        <v>392.17014705882355</v>
      </c>
      <c r="P26">
        <f>G26*'Front page'!$B$18</f>
        <v>139.9</v>
      </c>
      <c r="Q26" s="27">
        <f>IF(settings!$B$4=0,Calculations!H26,Calculations!I26) *'Front page'!$B$11</f>
        <v>422.8</v>
      </c>
      <c r="R26" s="28">
        <f>ROUND(I26*'Front page'!$B$9,2)</f>
        <v>0</v>
      </c>
      <c r="S26" s="27">
        <f>J26*'Front page'!$B$14</f>
        <v>72.100000000000009</v>
      </c>
      <c r="T26" s="81">
        <f>'Front page'!$B$16*Calculations!K26</f>
        <v>24.680402941176471</v>
      </c>
      <c r="U26" s="81">
        <f>IF(settings!$B$13=0,(Calculations!M26*'Economic Adjustment'!O25)-Calculations!M26,0)</f>
        <v>0</v>
      </c>
      <c r="V26" s="154">
        <f>VLOOKUP(B26,'Remote School Building Weight'!$M$2:$P$174,3,FALSE)</f>
        <v>0</v>
      </c>
      <c r="W26" s="23">
        <f>'Small Dist Weight'!V25-Calculations!D26</f>
        <v>0</v>
      </c>
      <c r="X26" s="23">
        <f>IF(settings!$P$9=0,'Large District Weight'!H25*'Large District Weight'!G25,0)</f>
        <v>0</v>
      </c>
      <c r="Y26" s="23">
        <f t="shared" si="4"/>
        <v>13721.102020588234</v>
      </c>
      <c r="Z26" s="23">
        <f>IF(settings!$F$13=0,'Teacher Exp'!L26,0)</f>
        <v>0</v>
      </c>
      <c r="AA26" s="23">
        <f t="shared" si="5"/>
        <v>13721.102020588234</v>
      </c>
      <c r="AC26" s="24">
        <f>'Student Enrollment Data'!BU27</f>
        <v>796</v>
      </c>
      <c r="AD26" s="24">
        <f t="shared" si="6"/>
        <v>1234.0201470588236</v>
      </c>
      <c r="AE26" s="24">
        <f>AD26*'Front page'!$B$16</f>
        <v>24.680402941176471</v>
      </c>
      <c r="AG26" s="6">
        <f>M26*'Front page'!$E$3</f>
        <v>60586892.804453723</v>
      </c>
      <c r="AH26" s="6">
        <f>N26*'Front page'!$E$3</f>
        <v>1616524.2118138198</v>
      </c>
      <c r="AI26" s="6">
        <f>O26*'Front page'!$E$3</f>
        <v>1925444.3063665135</v>
      </c>
      <c r="AJ26" s="6">
        <f>P26*'Front page'!$E$3</f>
        <v>686869.36137510522</v>
      </c>
      <c r="AK26" s="6">
        <f>Q26*'Front page'!$E$3</f>
        <v>2075828.2057855218</v>
      </c>
      <c r="AL26" s="6">
        <f>S26*'Front page'!$E$3</f>
        <v>353990.57151640527</v>
      </c>
      <c r="AM26" s="5">
        <f>Z26*'Front page'!$E$3</f>
        <v>0</v>
      </c>
      <c r="AN26" s="6">
        <f>T26*'Front page'!$E$3</f>
        <v>121173.78560890745</v>
      </c>
      <c r="AO26" s="6">
        <f>U26*'Front page'!$E$3</f>
        <v>0</v>
      </c>
      <c r="AP26" s="6">
        <f>W26*'Front page'!$E$3</f>
        <v>0</v>
      </c>
      <c r="AQ26" s="6">
        <f>V26*'Front page'!$E$3</f>
        <v>0</v>
      </c>
      <c r="AR26" s="6">
        <f>X26*'Front page'!$E$3</f>
        <v>0</v>
      </c>
      <c r="AS26" s="6">
        <f t="shared" si="7"/>
        <v>67366723.24691999</v>
      </c>
      <c r="AT26" s="7">
        <f>IF(AS26&gt;'Funding Comparison'!D26*(1+'Front page'!$H$10),'Funding Comparison'!D26*(1+'Front page'!$H$10),AS26)</f>
        <v>1012368.7034999999</v>
      </c>
    </row>
    <row r="27" spans="1:46">
      <c r="A27" t="str">
        <f t="shared" si="0"/>
        <v>101</v>
      </c>
      <c r="B27">
        <f t="shared" si="2"/>
        <v>101</v>
      </c>
      <c r="C27" s="14" t="s">
        <v>35</v>
      </c>
      <c r="D27">
        <f>IF(settings!$G$4=0,'Student Enrollment Data'!AX28,'Student Enrollment Data'!CK28)</f>
        <v>1365.0419117647059</v>
      </c>
      <c r="E27">
        <f>IF(settings!$G$4=0,'Student Enrollment Data'!AY28,'Student Enrollment Data'!CL28)</f>
        <v>371.5</v>
      </c>
      <c r="F27">
        <f>IF(settings!$G$4=0,'Student Enrollment Data'!AZ28,'Student Enrollment Data'!CM28)</f>
        <v>443.42279411764707</v>
      </c>
      <c r="G27" s="23">
        <f>'Student Enrollment Data'!BK28</f>
        <v>226</v>
      </c>
      <c r="H27">
        <f>'Student Enrollment Data'!BF28</f>
        <v>711</v>
      </c>
      <c r="I27">
        <f>SUM('Student Enrollment Data'!R28:X28,'Student Enrollment Data'!AQ28:AW28)</f>
        <v>14.167647058823524</v>
      </c>
      <c r="J27">
        <f>'Student Enrollment Data'!BS28</f>
        <v>19</v>
      </c>
      <c r="K27">
        <f t="shared" si="3"/>
        <v>136.50419117647058</v>
      </c>
      <c r="M27" s="27">
        <f t="shared" si="1"/>
        <v>1365.0419117647059</v>
      </c>
      <c r="N27" s="27">
        <f>E27*'Front page'!$B$20</f>
        <v>37.15</v>
      </c>
      <c r="O27" s="27">
        <f>F27*'Front page'!$B$21</f>
        <v>44.342279411764707</v>
      </c>
      <c r="P27">
        <f>G27*'Front page'!$B$18</f>
        <v>22.6</v>
      </c>
      <c r="Q27" s="27">
        <f>IF(settings!$B$4=0,Calculations!H27,Calculations!I27) *'Front page'!$B$11</f>
        <v>71.100000000000009</v>
      </c>
      <c r="R27" s="28">
        <f>ROUND(I27*'Front page'!$B$9,2)</f>
        <v>0</v>
      </c>
      <c r="S27" s="27">
        <f>J27*'Front page'!$B$14</f>
        <v>1.9000000000000001</v>
      </c>
      <c r="T27" s="81">
        <f>'Front page'!$B$16*Calculations!K27</f>
        <v>2.7300838235294118</v>
      </c>
      <c r="U27" s="81">
        <f>IF(settings!$B$13=0,(Calculations!M27*'Economic Adjustment'!O26)-Calculations!M27,0)</f>
        <v>0</v>
      </c>
      <c r="V27" s="154">
        <f>VLOOKUP(B27,'Remote School Building Weight'!$M$2:$P$174,3,FALSE)</f>
        <v>53.621708637958193</v>
      </c>
      <c r="W27" s="23">
        <f>'Small Dist Weight'!V26-Calculations!D27</f>
        <v>80.137231128119083</v>
      </c>
      <c r="X27" s="23">
        <f>IF(settings!$P$9=0,'Large District Weight'!H26*'Large District Weight'!G26,0)</f>
        <v>0</v>
      </c>
      <c r="Y27" s="23">
        <f t="shared" si="4"/>
        <v>1678.6232147660774</v>
      </c>
      <c r="Z27" s="23">
        <f>IF(settings!$F$13=0,'Teacher Exp'!L27,0)</f>
        <v>0</v>
      </c>
      <c r="AA27" s="23">
        <f t="shared" si="5"/>
        <v>1678.6232147660774</v>
      </c>
      <c r="AC27" s="24">
        <f>'Student Enrollment Data'!BU28</f>
        <v>24</v>
      </c>
      <c r="AD27" s="24">
        <f t="shared" si="6"/>
        <v>136.50419117647058</v>
      </c>
      <c r="AE27" s="24">
        <f>AD27*'Front page'!$B$16</f>
        <v>2.7300838235294118</v>
      </c>
      <c r="AG27" s="6">
        <f>M27*'Front page'!$E$3</f>
        <v>6701969.0220448626</v>
      </c>
      <c r="AH27" s="6">
        <f>N27*'Front page'!$E$3</f>
        <v>182395.97408924345</v>
      </c>
      <c r="AI27" s="6">
        <f>O27*'Front page'!$E$3</f>
        <v>217708.02817351895</v>
      </c>
      <c r="AJ27" s="6">
        <f>P27*'Front page'!$E$3</f>
        <v>110959.59661956668</v>
      </c>
      <c r="AK27" s="6">
        <f>Q27*'Front page'!$E$3</f>
        <v>349080.85485182266</v>
      </c>
      <c r="AL27" s="6">
        <f>S27*'Front page'!$E$3</f>
        <v>9328.4616627069336</v>
      </c>
      <c r="AM27" s="5">
        <f>Z27*'Front page'!$E$3</f>
        <v>0</v>
      </c>
      <c r="AN27" s="6">
        <f>T27*'Front page'!$E$3</f>
        <v>13403.938044089726</v>
      </c>
      <c r="AO27" s="6">
        <f>U27*'Front page'!$E$3</f>
        <v>0</v>
      </c>
      <c r="AP27" s="6">
        <f>W27*'Front page'!$E$3</f>
        <v>393451.09912323346</v>
      </c>
      <c r="AQ27" s="6">
        <f>V27*'Front page'!$E$3</f>
        <v>263267.39648317592</v>
      </c>
      <c r="AR27" s="6">
        <f>X27*'Front page'!$E$3</f>
        <v>0</v>
      </c>
      <c r="AS27" s="6">
        <f t="shared" si="7"/>
        <v>8241564.3710922208</v>
      </c>
      <c r="AT27" s="7">
        <f>IF(AS27&gt;'Funding Comparison'!D27*(1+'Front page'!$H$10),'Funding Comparison'!D27*(1+'Front page'!$H$10),AS27)</f>
        <v>1039216.1955</v>
      </c>
    </row>
    <row r="28" spans="1:46">
      <c r="A28" t="str">
        <f t="shared" si="0"/>
        <v>111</v>
      </c>
      <c r="B28">
        <f t="shared" si="2"/>
        <v>111</v>
      </c>
      <c r="C28" s="14" t="s">
        <v>36</v>
      </c>
      <c r="D28">
        <f>IF(settings!$G$4=0,'Student Enrollment Data'!AX29,'Student Enrollment Data'!CK29)</f>
        <v>402</v>
      </c>
      <c r="E28">
        <f>IF(settings!$G$4=0,'Student Enrollment Data'!AY29,'Student Enrollment Data'!CL29)</f>
        <v>103</v>
      </c>
      <c r="F28">
        <f>IF(settings!$G$4=0,'Student Enrollment Data'!AZ29,'Student Enrollment Data'!CM29)</f>
        <v>109</v>
      </c>
      <c r="G28" s="23">
        <f>'Student Enrollment Data'!BK29</f>
        <v>73</v>
      </c>
      <c r="H28">
        <f>'Student Enrollment Data'!BF29</f>
        <v>195</v>
      </c>
      <c r="I28">
        <f>SUM('Student Enrollment Data'!R29:X29,'Student Enrollment Data'!AQ29:AW29)</f>
        <v>0</v>
      </c>
      <c r="J28">
        <f>'Student Enrollment Data'!BS29</f>
        <v>8</v>
      </c>
      <c r="K28">
        <f t="shared" si="3"/>
        <v>40.200000000000003</v>
      </c>
      <c r="M28" s="27">
        <f t="shared" si="1"/>
        <v>402</v>
      </c>
      <c r="N28" s="27">
        <f>E28*'Front page'!$B$20</f>
        <v>10.3</v>
      </c>
      <c r="O28" s="27">
        <f>F28*'Front page'!$B$21</f>
        <v>10.9</v>
      </c>
      <c r="P28">
        <f>G28*'Front page'!$B$18</f>
        <v>7.3000000000000007</v>
      </c>
      <c r="Q28" s="27">
        <f>IF(settings!$B$4=0,Calculations!H28,Calculations!I28) *'Front page'!$B$11</f>
        <v>19.5</v>
      </c>
      <c r="R28" s="28">
        <f>ROUND(I28*'Front page'!$B$9,2)</f>
        <v>0</v>
      </c>
      <c r="S28" s="27">
        <f>J28*'Front page'!$B$14</f>
        <v>0.8</v>
      </c>
      <c r="T28" s="81">
        <f>'Front page'!$B$16*Calculations!K28</f>
        <v>0.80400000000000005</v>
      </c>
      <c r="U28" s="81">
        <f>IF(settings!$B$13=0,(Calculations!M28*'Economic Adjustment'!O27)-Calculations!M28,0)</f>
        <v>0</v>
      </c>
      <c r="V28" s="154">
        <f>VLOOKUP(B28,'Remote School Building Weight'!$M$2:$P$174,3,FALSE)</f>
        <v>30.746165444219024</v>
      </c>
      <c r="W28" s="23">
        <f>'Small Dist Weight'!V27-Calculations!D28</f>
        <v>170.19677115987463</v>
      </c>
      <c r="X28" s="23">
        <f>IF(settings!$P$9=0,'Large District Weight'!H27*'Large District Weight'!G27,0)</f>
        <v>0</v>
      </c>
      <c r="Y28" s="23">
        <f t="shared" si="4"/>
        <v>652.54693660409362</v>
      </c>
      <c r="Z28" s="23">
        <f>IF(settings!$F$13=0,'Teacher Exp'!L28,0)</f>
        <v>0</v>
      </c>
      <c r="AA28" s="23">
        <f t="shared" si="5"/>
        <v>652.54693660409362</v>
      </c>
      <c r="AC28" s="24">
        <f>'Student Enrollment Data'!BU29</f>
        <v>0</v>
      </c>
      <c r="AD28" s="24">
        <f t="shared" si="6"/>
        <v>40.200000000000003</v>
      </c>
      <c r="AE28" s="24">
        <f>AD28*'Front page'!$B$16</f>
        <v>0.80400000000000005</v>
      </c>
      <c r="AG28" s="6">
        <f>M28*'Front page'!$E$3</f>
        <v>1973706.0991622037</v>
      </c>
      <c r="AH28" s="6">
        <f>N28*'Front page'!$E$3</f>
        <v>50570.081645200749</v>
      </c>
      <c r="AI28" s="6">
        <f>O28*'Front page'!$E$3</f>
        <v>53515.911643950305</v>
      </c>
      <c r="AJ28" s="6">
        <f>P28*'Front page'!$E$3</f>
        <v>35840.931651452956</v>
      </c>
      <c r="AK28" s="6">
        <f>Q28*'Front page'!$E$3</f>
        <v>95739.474959360625</v>
      </c>
      <c r="AL28" s="6">
        <f>S28*'Front page'!$E$3</f>
        <v>3927.7733316660774</v>
      </c>
      <c r="AM28" s="5">
        <f>Z28*'Front page'!$E$3</f>
        <v>0</v>
      </c>
      <c r="AN28" s="6">
        <f>T28*'Front page'!$E$3</f>
        <v>3947.4121983244077</v>
      </c>
      <c r="AO28" s="6">
        <f>U28*'Front page'!$E$3</f>
        <v>0</v>
      </c>
      <c r="AP28" s="6">
        <f>W28*'Front page'!$E$3</f>
        <v>835617.92362178711</v>
      </c>
      <c r="AQ28" s="6">
        <f>V28*'Front page'!$E$3</f>
        <v>150954.96085349572</v>
      </c>
      <c r="AR28" s="6">
        <f>X28*'Front page'!$E$3</f>
        <v>0</v>
      </c>
      <c r="AS28" s="6">
        <f t="shared" si="7"/>
        <v>3203820.5690674409</v>
      </c>
      <c r="AT28" s="7">
        <f>IF(AS28&gt;'Funding Comparison'!D28*(1+'Front page'!$H$10),'Funding Comparison'!D28*(1+'Front page'!$H$10),AS28)</f>
        <v>947587.77750000008</v>
      </c>
    </row>
    <row r="29" spans="1:46">
      <c r="A29" t="str">
        <f t="shared" si="0"/>
        <v>121</v>
      </c>
      <c r="B29">
        <f t="shared" si="2"/>
        <v>121</v>
      </c>
      <c r="C29" s="14" t="s">
        <v>37</v>
      </c>
      <c r="D29">
        <f>IF(settings!$G$4=0,'Student Enrollment Data'!AX30,'Student Enrollment Data'!CK30)</f>
        <v>165.5</v>
      </c>
      <c r="E29">
        <f>IF(settings!$G$4=0,'Student Enrollment Data'!AY30,'Student Enrollment Data'!CL30)</f>
        <v>46.5</v>
      </c>
      <c r="F29">
        <f>IF(settings!$G$4=0,'Student Enrollment Data'!AZ30,'Student Enrollment Data'!CM30)</f>
        <v>45</v>
      </c>
      <c r="G29" s="23">
        <f>'Student Enrollment Data'!BK30</f>
        <v>21</v>
      </c>
      <c r="H29">
        <f>'Student Enrollment Data'!BF30</f>
        <v>56</v>
      </c>
      <c r="I29">
        <f>SUM('Student Enrollment Data'!R30:X30,'Student Enrollment Data'!AQ30:AW30)</f>
        <v>0</v>
      </c>
      <c r="J29">
        <f>'Student Enrollment Data'!BS30</f>
        <v>0</v>
      </c>
      <c r="K29">
        <f t="shared" si="3"/>
        <v>16.55</v>
      </c>
      <c r="M29" s="27">
        <f t="shared" si="1"/>
        <v>165.5</v>
      </c>
      <c r="N29" s="27">
        <f>E29*'Front page'!$B$20</f>
        <v>4.6500000000000004</v>
      </c>
      <c r="O29" s="27">
        <f>F29*'Front page'!$B$21</f>
        <v>4.5</v>
      </c>
      <c r="P29">
        <f>G29*'Front page'!$B$18</f>
        <v>2.1</v>
      </c>
      <c r="Q29" s="27">
        <f>IF(settings!$B$4=0,Calculations!H29,Calculations!I29) *'Front page'!$B$11</f>
        <v>5.6000000000000005</v>
      </c>
      <c r="R29" s="28">
        <f>ROUND(I29*'Front page'!$B$9,2)</f>
        <v>0</v>
      </c>
      <c r="S29" s="27">
        <f>J29*'Front page'!$B$14</f>
        <v>0</v>
      </c>
      <c r="T29" s="81">
        <f>'Front page'!$B$16*Calculations!K29</f>
        <v>0.33100000000000002</v>
      </c>
      <c r="U29" s="81">
        <f>IF(settings!$B$13=0,(Calculations!M29*'Economic Adjustment'!O28)-Calculations!M29,0)</f>
        <v>0</v>
      </c>
      <c r="V29" s="154">
        <f>VLOOKUP(B29,'Remote School Building Weight'!$M$2:$P$174,3,FALSE)</f>
        <v>0</v>
      </c>
      <c r="W29" s="23">
        <f>'Small Dist Weight'!V28-Calculations!D29</f>
        <v>167.83172217868344</v>
      </c>
      <c r="X29" s="23">
        <f>IF(settings!$P$9=0,'Large District Weight'!H28*'Large District Weight'!G28,0)</f>
        <v>0</v>
      </c>
      <c r="Y29" s="23">
        <f t="shared" si="4"/>
        <v>350.51272217868342</v>
      </c>
      <c r="Z29" s="23">
        <f>IF(settings!$F$13=0,'Teacher Exp'!L29,0)</f>
        <v>0</v>
      </c>
      <c r="AA29" s="23">
        <f t="shared" si="5"/>
        <v>350.51272217868342</v>
      </c>
      <c r="AC29" s="24">
        <f>'Student Enrollment Data'!BU30</f>
        <v>0</v>
      </c>
      <c r="AD29" s="24">
        <f t="shared" si="6"/>
        <v>16.55</v>
      </c>
      <c r="AE29" s="24">
        <f>AD29*'Front page'!$B$16</f>
        <v>0.33100000000000002</v>
      </c>
      <c r="AG29" s="6">
        <f>M29*'Front page'!$E$3</f>
        <v>812558.10798841971</v>
      </c>
      <c r="AH29" s="6">
        <f>N29*'Front page'!$E$3</f>
        <v>22830.182490309075</v>
      </c>
      <c r="AI29" s="6">
        <f>O29*'Front page'!$E$3</f>
        <v>22093.724990621682</v>
      </c>
      <c r="AJ29" s="6">
        <f>P29*'Front page'!$E$3</f>
        <v>10310.404995623452</v>
      </c>
      <c r="AK29" s="6">
        <f>Q29*'Front page'!$E$3</f>
        <v>27494.413321662541</v>
      </c>
      <c r="AL29" s="6">
        <f>S29*'Front page'!$E$3</f>
        <v>0</v>
      </c>
      <c r="AM29" s="5">
        <f>Z29*'Front page'!$E$3</f>
        <v>0</v>
      </c>
      <c r="AN29" s="6">
        <f>T29*'Front page'!$E$3</f>
        <v>1625.1162159768394</v>
      </c>
      <c r="AO29" s="6">
        <f>U29*'Front page'!$E$3</f>
        <v>0</v>
      </c>
      <c r="AP29" s="6">
        <f>W29*'Front page'!$E$3</f>
        <v>824006.20322627865</v>
      </c>
      <c r="AQ29" s="6">
        <f>V29*'Front page'!$E$3</f>
        <v>0</v>
      </c>
      <c r="AR29" s="6">
        <f>X29*'Front page'!$E$3</f>
        <v>0</v>
      </c>
      <c r="AS29" s="6">
        <f t="shared" si="7"/>
        <v>1720918.153228892</v>
      </c>
      <c r="AT29" s="7">
        <f>IF(AS29&gt;'Funding Comparison'!D29*(1+'Front page'!$H$10),'Funding Comparison'!D29*(1+'Front page'!$H$10),AS29)</f>
        <v>1092765.5340000002</v>
      </c>
    </row>
    <row r="30" spans="1:46">
      <c r="A30" t="str">
        <f t="shared" si="0"/>
        <v>131</v>
      </c>
      <c r="B30">
        <f t="shared" si="2"/>
        <v>131</v>
      </c>
      <c r="C30" s="14" t="s">
        <v>38</v>
      </c>
      <c r="D30">
        <f>IF(settings!$G$4=0,'Student Enrollment Data'!AX31,'Student Enrollment Data'!CK31)</f>
        <v>13462.635900980393</v>
      </c>
      <c r="E30">
        <f>IF(settings!$G$4=0,'Student Enrollment Data'!AY31,'Student Enrollment Data'!CL31)</f>
        <v>3573.5</v>
      </c>
      <c r="F30">
        <f>IF(settings!$G$4=0,'Student Enrollment Data'!AZ31,'Student Enrollment Data'!CM31)</f>
        <v>4351.3924813725489</v>
      </c>
      <c r="G30" s="23">
        <f>'Student Enrollment Data'!BK31</f>
        <v>1575</v>
      </c>
      <c r="H30">
        <f>'Student Enrollment Data'!BF31</f>
        <v>8178</v>
      </c>
      <c r="I30">
        <f>SUM('Student Enrollment Data'!R31:X31,'Student Enrollment Data'!AQ31:AW31)</f>
        <v>532.11044662212021</v>
      </c>
      <c r="J30">
        <f>'Student Enrollment Data'!BS31</f>
        <v>1704</v>
      </c>
      <c r="K30">
        <f t="shared" si="3"/>
        <v>1346.2635900980395</v>
      </c>
      <c r="M30" s="27">
        <f t="shared" si="1"/>
        <v>13462.635900980393</v>
      </c>
      <c r="N30" s="27">
        <f>E30*'Front page'!$B$20</f>
        <v>357.35</v>
      </c>
      <c r="O30" s="27">
        <f>F30*'Front page'!$B$21</f>
        <v>435.13924813725492</v>
      </c>
      <c r="P30">
        <f>G30*'Front page'!$B$18</f>
        <v>157.5</v>
      </c>
      <c r="Q30" s="27">
        <f>IF(settings!$B$4=0,Calculations!H30,Calculations!I30) *'Front page'!$B$11</f>
        <v>817.80000000000007</v>
      </c>
      <c r="R30" s="28">
        <f>ROUND(I30*'Front page'!$B$9,2)</f>
        <v>0</v>
      </c>
      <c r="S30" s="27">
        <f>J30*'Front page'!$B$14</f>
        <v>170.4</v>
      </c>
      <c r="T30" s="81">
        <f>'Front page'!$B$16*Calculations!K30</f>
        <v>26.92527180196079</v>
      </c>
      <c r="U30" s="81">
        <f>IF(settings!$B$13=0,(Calculations!M30*'Economic Adjustment'!O29)-Calculations!M30,0)</f>
        <v>0</v>
      </c>
      <c r="V30" s="154">
        <f>VLOOKUP(B30,'Remote School Building Weight'!$M$2:$P$174,3,FALSE)</f>
        <v>0</v>
      </c>
      <c r="W30" s="23">
        <f>'Small Dist Weight'!V29-Calculations!D30</f>
        <v>0</v>
      </c>
      <c r="X30" s="23">
        <f>IF(settings!$P$9=0,'Large District Weight'!H29*'Large District Weight'!G29,0)</f>
        <v>0</v>
      </c>
      <c r="Y30" s="23">
        <f t="shared" si="4"/>
        <v>15427.750420919609</v>
      </c>
      <c r="Z30" s="23">
        <f>IF(settings!$F$13=0,'Teacher Exp'!L30,0)</f>
        <v>0</v>
      </c>
      <c r="AA30" s="23">
        <f t="shared" si="5"/>
        <v>15427.750420919609</v>
      </c>
      <c r="AC30" s="24">
        <f>'Student Enrollment Data'!BU31</f>
        <v>425</v>
      </c>
      <c r="AD30" s="24">
        <f t="shared" si="6"/>
        <v>1346.2635900980395</v>
      </c>
      <c r="AE30" s="24">
        <f>AD30*'Front page'!$B$16</f>
        <v>26.92527180196079</v>
      </c>
      <c r="AG30" s="6">
        <f>M30*'Front page'!$E$3</f>
        <v>66097727.83225137</v>
      </c>
      <c r="AH30" s="6">
        <f>N30*'Front page'!$E$3</f>
        <v>1754487.2500885909</v>
      </c>
      <c r="AI30" s="6">
        <f>O30*'Front page'!$E$3</f>
        <v>2136410.4179934221</v>
      </c>
      <c r="AJ30" s="6">
        <f>P30*'Front page'!$E$3</f>
        <v>773280.37467175897</v>
      </c>
      <c r="AK30" s="6">
        <f>Q30*'Front page'!$E$3</f>
        <v>4015166.2882956476</v>
      </c>
      <c r="AL30" s="6">
        <f>S30*'Front page'!$E$3</f>
        <v>836615.71964487445</v>
      </c>
      <c r="AM30" s="5">
        <f>Z30*'Front page'!$E$3</f>
        <v>0</v>
      </c>
      <c r="AN30" s="6">
        <f>T30*'Front page'!$E$3</f>
        <v>132195.45566450278</v>
      </c>
      <c r="AO30" s="6">
        <f>U30*'Front page'!$E$3</f>
        <v>0</v>
      </c>
      <c r="AP30" s="6">
        <f>W30*'Front page'!$E$3</f>
        <v>0</v>
      </c>
      <c r="AQ30" s="6">
        <f>V30*'Front page'!$E$3</f>
        <v>0</v>
      </c>
      <c r="AR30" s="6">
        <f>X30*'Front page'!$E$3</f>
        <v>0</v>
      </c>
      <c r="AS30" s="6">
        <f t="shared" si="7"/>
        <v>75745883.338610157</v>
      </c>
      <c r="AT30" s="7">
        <f>IF(AS30&gt;'Funding Comparison'!D30*(1+'Front page'!$H$10),'Funding Comparison'!D30*(1+'Front page'!$H$10),AS30)</f>
        <v>926969.46300000011</v>
      </c>
    </row>
    <row r="31" spans="1:46">
      <c r="A31" t="str">
        <f t="shared" si="0"/>
        <v>132</v>
      </c>
      <c r="B31">
        <f t="shared" si="2"/>
        <v>132</v>
      </c>
      <c r="C31" s="14" t="s">
        <v>39</v>
      </c>
      <c r="D31">
        <f>IF(settings!$G$4=0,'Student Enrollment Data'!AX32,'Student Enrollment Data'!CK32)</f>
        <v>6110.0209203036056</v>
      </c>
      <c r="E31">
        <f>IF(settings!$G$4=0,'Student Enrollment Data'!AY32,'Student Enrollment Data'!CL32)</f>
        <v>1772</v>
      </c>
      <c r="F31">
        <f>IF(settings!$G$4=0,'Student Enrollment Data'!AZ32,'Student Enrollment Data'!CM32)</f>
        <v>1808.4179633143581</v>
      </c>
      <c r="G31" s="23">
        <f>'Student Enrollment Data'!BK32</f>
        <v>768</v>
      </c>
      <c r="H31">
        <f>'Student Enrollment Data'!BF32</f>
        <v>2722.12</v>
      </c>
      <c r="I31">
        <f>SUM('Student Enrollment Data'!R32:X32,'Student Enrollment Data'!AQ32:AW32)</f>
        <v>344.30795848237273</v>
      </c>
      <c r="J31">
        <f>'Student Enrollment Data'!BS32</f>
        <v>1599</v>
      </c>
      <c r="K31">
        <f t="shared" si="3"/>
        <v>611.00209203036059</v>
      </c>
      <c r="M31" s="27">
        <f t="shared" si="1"/>
        <v>6110.0209203036056</v>
      </c>
      <c r="N31" s="27">
        <f>E31*'Front page'!$B$20</f>
        <v>177.20000000000002</v>
      </c>
      <c r="O31" s="27">
        <f>F31*'Front page'!$B$21</f>
        <v>180.84179633143583</v>
      </c>
      <c r="P31">
        <f>G31*'Front page'!$B$18</f>
        <v>76.800000000000011</v>
      </c>
      <c r="Q31" s="27">
        <f>IF(settings!$B$4=0,Calculations!H31,Calculations!I31) *'Front page'!$B$11</f>
        <v>272.21199999999999</v>
      </c>
      <c r="R31" s="28">
        <f>ROUND(I31*'Front page'!$B$9,2)</f>
        <v>0</v>
      </c>
      <c r="S31" s="27">
        <f>J31*'Front page'!$B$14</f>
        <v>159.9</v>
      </c>
      <c r="T31" s="81">
        <f>'Front page'!$B$16*Calculations!K31</f>
        <v>12.220041840607212</v>
      </c>
      <c r="U31" s="81">
        <f>IF(settings!$B$13=0,(Calculations!M31*'Economic Adjustment'!O30)-Calculations!M31,0)</f>
        <v>0</v>
      </c>
      <c r="V31" s="154">
        <f>VLOOKUP(B31,'Remote School Building Weight'!$M$2:$P$174,3,FALSE)</f>
        <v>0</v>
      </c>
      <c r="W31" s="23">
        <f>'Small Dist Weight'!V30-Calculations!D31</f>
        <v>0</v>
      </c>
      <c r="X31" s="23">
        <f>IF(settings!$P$9=0,'Large District Weight'!H30*'Large District Weight'!G30,0)</f>
        <v>0</v>
      </c>
      <c r="Y31" s="23">
        <f t="shared" si="4"/>
        <v>6989.1947584756481</v>
      </c>
      <c r="Z31" s="23">
        <f>IF(settings!$F$13=0,'Teacher Exp'!L31,0)</f>
        <v>0</v>
      </c>
      <c r="AA31" s="23">
        <f t="shared" si="5"/>
        <v>6989.1947584756481</v>
      </c>
      <c r="AC31" s="24">
        <f>'Student Enrollment Data'!BU32</f>
        <v>227</v>
      </c>
      <c r="AD31" s="24">
        <f t="shared" si="6"/>
        <v>611.00209203036059</v>
      </c>
      <c r="AE31" s="24">
        <f>AD31*'Front page'!$B$16</f>
        <v>12.220041840607212</v>
      </c>
      <c r="AG31" s="6">
        <f>M31*'Front page'!$E$3</f>
        <v>29998471.533362906</v>
      </c>
      <c r="AH31" s="6">
        <f>N31*'Front page'!$E$3</f>
        <v>870001.79296403623</v>
      </c>
      <c r="AI31" s="6">
        <f>O31*'Front page'!$E$3</f>
        <v>887881.98110150232</v>
      </c>
      <c r="AJ31" s="6">
        <f>P31*'Front page'!$E$3</f>
        <v>377066.23983994348</v>
      </c>
      <c r="AK31" s="6">
        <f>Q31*'Front page'!$E$3</f>
        <v>1336483.7926993577</v>
      </c>
      <c r="AL31" s="6">
        <f>S31*'Front page'!$E$3</f>
        <v>785063.69466675725</v>
      </c>
      <c r="AM31" s="5">
        <f>Z31*'Front page'!$E$3</f>
        <v>0</v>
      </c>
      <c r="AN31" s="6">
        <f>T31*'Front page'!$E$3</f>
        <v>59996.943066725813</v>
      </c>
      <c r="AO31" s="6">
        <f>U31*'Front page'!$E$3</f>
        <v>0</v>
      </c>
      <c r="AP31" s="6">
        <f>W31*'Front page'!$E$3</f>
        <v>0</v>
      </c>
      <c r="AQ31" s="6">
        <f>V31*'Front page'!$E$3</f>
        <v>0</v>
      </c>
      <c r="AR31" s="6">
        <f>X31*'Front page'!$E$3</f>
        <v>0</v>
      </c>
      <c r="AS31" s="6">
        <f t="shared" si="7"/>
        <v>34314965.977701232</v>
      </c>
      <c r="AT31" s="7">
        <f>IF(AS31&gt;'Funding Comparison'!D31*(1+'Front page'!$H$10),'Funding Comparison'!D31*(1+'Front page'!$H$10),AS31)</f>
        <v>1065238.818</v>
      </c>
    </row>
    <row r="32" spans="1:46">
      <c r="A32" t="str">
        <f t="shared" si="0"/>
        <v>133</v>
      </c>
      <c r="B32">
        <f t="shared" si="2"/>
        <v>133</v>
      </c>
      <c r="C32" s="14" t="s">
        <v>40</v>
      </c>
      <c r="D32">
        <f>IF(settings!$G$4=0,'Student Enrollment Data'!AX33,'Student Enrollment Data'!CK33)</f>
        <v>499.5</v>
      </c>
      <c r="E32">
        <f>IF(settings!$G$4=0,'Student Enrollment Data'!AY33,'Student Enrollment Data'!CL33)</f>
        <v>144.5</v>
      </c>
      <c r="F32">
        <f>IF(settings!$G$4=0,'Student Enrollment Data'!AZ33,'Student Enrollment Data'!CM33)</f>
        <v>128</v>
      </c>
      <c r="G32" s="23">
        <f>'Student Enrollment Data'!BK33</f>
        <v>65</v>
      </c>
      <c r="H32">
        <f>'Student Enrollment Data'!BF33</f>
        <v>225.3</v>
      </c>
      <c r="I32">
        <f>SUM('Student Enrollment Data'!R33:X33,'Student Enrollment Data'!AQ33:AW33)</f>
        <v>0</v>
      </c>
      <c r="J32">
        <f>'Student Enrollment Data'!BS33</f>
        <v>105</v>
      </c>
      <c r="K32">
        <f t="shared" si="3"/>
        <v>49.95</v>
      </c>
      <c r="M32" s="27">
        <f t="shared" si="1"/>
        <v>499.5</v>
      </c>
      <c r="N32" s="27">
        <f>E32*'Front page'!$B$20</f>
        <v>14.450000000000001</v>
      </c>
      <c r="O32" s="27">
        <f>F32*'Front page'!$B$21</f>
        <v>12.8</v>
      </c>
      <c r="P32">
        <f>G32*'Front page'!$B$18</f>
        <v>6.5</v>
      </c>
      <c r="Q32" s="27">
        <f>IF(settings!$B$4=0,Calculations!H32,Calculations!I32) *'Front page'!$B$11</f>
        <v>22.53</v>
      </c>
      <c r="R32" s="28">
        <f>ROUND(I32*'Front page'!$B$9,2)</f>
        <v>0</v>
      </c>
      <c r="S32" s="27">
        <f>J32*'Front page'!$B$14</f>
        <v>10.5</v>
      </c>
      <c r="T32" s="81">
        <f>'Front page'!$B$16*Calculations!K32</f>
        <v>0.99900000000000011</v>
      </c>
      <c r="U32" s="81">
        <f>IF(settings!$B$13=0,(Calculations!M32*'Economic Adjustment'!O31)-Calculations!M32,0)</f>
        <v>0</v>
      </c>
      <c r="V32" s="154">
        <f>VLOOKUP(B32,'Remote School Building Weight'!$M$2:$P$174,3,FALSE)</f>
        <v>0</v>
      </c>
      <c r="W32" s="23">
        <f>'Small Dist Weight'!V31-Calculations!D32</f>
        <v>168.25124020376177</v>
      </c>
      <c r="X32" s="23">
        <f>IF(settings!$P$9=0,'Large District Weight'!H31*'Large District Weight'!G31,0)</f>
        <v>0</v>
      </c>
      <c r="Y32" s="23">
        <f t="shared" si="4"/>
        <v>735.53024020376176</v>
      </c>
      <c r="Z32" s="23">
        <f>IF(settings!$F$13=0,'Teacher Exp'!L32,0)</f>
        <v>0</v>
      </c>
      <c r="AA32" s="23">
        <f t="shared" si="5"/>
        <v>735.53024020376176</v>
      </c>
      <c r="AC32" s="24">
        <f>'Student Enrollment Data'!BU33</f>
        <v>7</v>
      </c>
      <c r="AD32" s="24">
        <f t="shared" si="6"/>
        <v>49.95</v>
      </c>
      <c r="AE32" s="24">
        <f>AD32*'Front page'!$B$16</f>
        <v>0.99900000000000011</v>
      </c>
      <c r="AG32" s="6">
        <f>M32*'Front page'!$E$3</f>
        <v>2452403.4739590068</v>
      </c>
      <c r="AH32" s="6">
        <f>N32*'Front page'!$E$3</f>
        <v>70945.405803218528</v>
      </c>
      <c r="AI32" s="6">
        <f>O32*'Front page'!$E$3</f>
        <v>62844.373306657239</v>
      </c>
      <c r="AJ32" s="6">
        <f>P32*'Front page'!$E$3</f>
        <v>31913.158319786875</v>
      </c>
      <c r="AK32" s="6">
        <f>Q32*'Front page'!$E$3</f>
        <v>110615.91645304591</v>
      </c>
      <c r="AL32" s="6">
        <f>S32*'Front page'!$E$3</f>
        <v>51552.024978117261</v>
      </c>
      <c r="AM32" s="5">
        <f>Z32*'Front page'!$E$3</f>
        <v>0</v>
      </c>
      <c r="AN32" s="6">
        <f>T32*'Front page'!$E$3</f>
        <v>4904.806947918014</v>
      </c>
      <c r="AO32" s="6">
        <f>U32*'Front page'!$E$3</f>
        <v>0</v>
      </c>
      <c r="AP32" s="6">
        <f>W32*'Front page'!$E$3</f>
        <v>826065.91786509845</v>
      </c>
      <c r="AQ32" s="6">
        <f>V32*'Front page'!$E$3</f>
        <v>0</v>
      </c>
      <c r="AR32" s="6">
        <f>X32*'Front page'!$E$3</f>
        <v>0</v>
      </c>
      <c r="AS32" s="6">
        <f t="shared" si="7"/>
        <v>3611245.0776328486</v>
      </c>
      <c r="AT32" s="7">
        <f>IF(AS32&gt;'Funding Comparison'!D32*(1+'Front page'!$H$10),'Funding Comparison'!D32*(1+'Front page'!$H$10),AS32)</f>
        <v>1150449.3630000001</v>
      </c>
    </row>
    <row r="33" spans="1:46">
      <c r="A33" t="str">
        <f t="shared" si="0"/>
        <v>134</v>
      </c>
      <c r="B33">
        <f t="shared" si="2"/>
        <v>134</v>
      </c>
      <c r="C33" s="14" t="s">
        <v>41</v>
      </c>
      <c r="D33">
        <f>IF(settings!$G$4=0,'Student Enrollment Data'!AX34,'Student Enrollment Data'!CK34)</f>
        <v>3930.247549019608</v>
      </c>
      <c r="E33">
        <f>IF(settings!$G$4=0,'Student Enrollment Data'!AY34,'Student Enrollment Data'!CL34)</f>
        <v>987.5</v>
      </c>
      <c r="F33">
        <f>IF(settings!$G$4=0,'Student Enrollment Data'!AZ34,'Student Enrollment Data'!CM34)</f>
        <v>1334.0245098039215</v>
      </c>
      <c r="G33" s="23">
        <f>'Student Enrollment Data'!BK34</f>
        <v>379</v>
      </c>
      <c r="H33">
        <f>'Student Enrollment Data'!BF34</f>
        <v>1659</v>
      </c>
      <c r="I33">
        <f>SUM('Student Enrollment Data'!R34:X34,'Student Enrollment Data'!AQ34:AW34)</f>
        <v>119.13112270234268</v>
      </c>
      <c r="J33">
        <f>'Student Enrollment Data'!BS34</f>
        <v>108</v>
      </c>
      <c r="K33">
        <f t="shared" si="3"/>
        <v>393.02475490196082</v>
      </c>
      <c r="M33" s="27">
        <f t="shared" si="1"/>
        <v>3930.247549019608</v>
      </c>
      <c r="N33" s="27">
        <f>E33*'Front page'!$B$20</f>
        <v>98.75</v>
      </c>
      <c r="O33" s="27">
        <f>F33*'Front page'!$B$21</f>
        <v>133.40245098039216</v>
      </c>
      <c r="P33">
        <f>G33*'Front page'!$B$18</f>
        <v>37.9</v>
      </c>
      <c r="Q33" s="27">
        <f>IF(settings!$B$4=0,Calculations!H33,Calculations!I33) *'Front page'!$B$11</f>
        <v>165.9</v>
      </c>
      <c r="R33" s="28">
        <f>ROUND(I33*'Front page'!$B$9,2)</f>
        <v>0</v>
      </c>
      <c r="S33" s="27">
        <f>J33*'Front page'!$B$14</f>
        <v>10.8</v>
      </c>
      <c r="T33" s="81">
        <f>'Front page'!$B$16*Calculations!K33</f>
        <v>7.860495098039217</v>
      </c>
      <c r="U33" s="81">
        <f>IF(settings!$B$13=0,(Calculations!M33*'Economic Adjustment'!O32)-Calculations!M33,0)</f>
        <v>0</v>
      </c>
      <c r="V33" s="154">
        <f>VLOOKUP(B33,'Remote School Building Weight'!$M$2:$P$174,3,FALSE)</f>
        <v>0</v>
      </c>
      <c r="W33" s="23">
        <f>'Small Dist Weight'!V32-Calculations!D33</f>
        <v>0</v>
      </c>
      <c r="X33" s="23">
        <f>IF(settings!$P$9=0,'Large District Weight'!H32*'Large District Weight'!G32,0)</f>
        <v>0</v>
      </c>
      <c r="Y33" s="23">
        <f t="shared" si="4"/>
        <v>4384.8604950980389</v>
      </c>
      <c r="Z33" s="23">
        <f>IF(settings!$F$13=0,'Teacher Exp'!L33,0)</f>
        <v>0</v>
      </c>
      <c r="AA33" s="23">
        <f t="shared" si="5"/>
        <v>4384.8604950980389</v>
      </c>
      <c r="AC33" s="24">
        <f>'Student Enrollment Data'!BU34</f>
        <v>247</v>
      </c>
      <c r="AD33" s="24">
        <f t="shared" si="6"/>
        <v>393.02475490196082</v>
      </c>
      <c r="AE33" s="24">
        <f>AD33*'Front page'!$B$16</f>
        <v>7.860495098039217</v>
      </c>
      <c r="AG33" s="6">
        <f>M33*'Front page'!$E$3</f>
        <v>19296401.887356475</v>
      </c>
      <c r="AH33" s="6">
        <f>N33*'Front page'!$E$3</f>
        <v>484834.5206275314</v>
      </c>
      <c r="AI33" s="6">
        <f>O33*'Front page'!$E$3</f>
        <v>654968.23667459434</v>
      </c>
      <c r="AJ33" s="6">
        <f>P33*'Front page'!$E$3</f>
        <v>186078.2615876804</v>
      </c>
      <c r="AK33" s="6">
        <f>Q33*'Front page'!$E$3</f>
        <v>814521.99465425278</v>
      </c>
      <c r="AL33" s="6">
        <f>S33*'Front page'!$E$3</f>
        <v>53024.939977492046</v>
      </c>
      <c r="AM33" s="5">
        <f>Z33*'Front page'!$E$3</f>
        <v>0</v>
      </c>
      <c r="AN33" s="6">
        <f>T33*'Front page'!$E$3</f>
        <v>38592.803774712957</v>
      </c>
      <c r="AO33" s="6">
        <f>U33*'Front page'!$E$3</f>
        <v>0</v>
      </c>
      <c r="AP33" s="6">
        <f>W33*'Front page'!$E$3</f>
        <v>0</v>
      </c>
      <c r="AQ33" s="6">
        <f>V33*'Front page'!$E$3</f>
        <v>0</v>
      </c>
      <c r="AR33" s="6">
        <f>X33*'Front page'!$E$3</f>
        <v>0</v>
      </c>
      <c r="AS33" s="6">
        <f t="shared" si="7"/>
        <v>21528422.644652743</v>
      </c>
      <c r="AT33" s="7">
        <f>IF(AS33&gt;'Funding Comparison'!D33*(1+'Front page'!$H$10),'Funding Comparison'!D33*(1+'Front page'!$H$10),AS33)</f>
        <v>1080523.2479999999</v>
      </c>
    </row>
    <row r="34" spans="1:46">
      <c r="A34" t="str">
        <f t="shared" si="0"/>
        <v>135</v>
      </c>
      <c r="B34">
        <f t="shared" si="2"/>
        <v>135</v>
      </c>
      <c r="C34" s="14" t="s">
        <v>42</v>
      </c>
      <c r="D34">
        <f>IF(settings!$G$4=0,'Student Enrollment Data'!AX35,'Student Enrollment Data'!CK35)</f>
        <v>413.5</v>
      </c>
      <c r="E34">
        <f>IF(settings!$G$4=0,'Student Enrollment Data'!AY35,'Student Enrollment Data'!CL35)</f>
        <v>91.5</v>
      </c>
      <c r="F34">
        <f>IF(settings!$G$4=0,'Student Enrollment Data'!AZ35,'Student Enrollment Data'!CM35)</f>
        <v>136</v>
      </c>
      <c r="G34" s="23">
        <f>'Student Enrollment Data'!BK35</f>
        <v>53</v>
      </c>
      <c r="H34">
        <f>'Student Enrollment Data'!BF35</f>
        <v>253</v>
      </c>
      <c r="I34">
        <f>SUM('Student Enrollment Data'!R35:X35,'Student Enrollment Data'!AQ35:AW35)</f>
        <v>0</v>
      </c>
      <c r="J34">
        <f>'Student Enrollment Data'!BS35</f>
        <v>39</v>
      </c>
      <c r="K34">
        <f t="shared" si="3"/>
        <v>41.35</v>
      </c>
      <c r="M34" s="27">
        <f t="shared" si="1"/>
        <v>413.5</v>
      </c>
      <c r="N34" s="27">
        <f>E34*'Front page'!$B$20</f>
        <v>9.15</v>
      </c>
      <c r="O34" s="27">
        <f>F34*'Front page'!$B$21</f>
        <v>13.600000000000001</v>
      </c>
      <c r="P34">
        <f>G34*'Front page'!$B$18</f>
        <v>5.3000000000000007</v>
      </c>
      <c r="Q34" s="27">
        <f>IF(settings!$B$4=0,Calculations!H34,Calculations!I34) *'Front page'!$B$11</f>
        <v>25.3</v>
      </c>
      <c r="R34" s="28">
        <f>ROUND(I34*'Front page'!$B$9,2)</f>
        <v>0</v>
      </c>
      <c r="S34" s="27">
        <f>J34*'Front page'!$B$14</f>
        <v>3.9000000000000004</v>
      </c>
      <c r="T34" s="81">
        <f>'Front page'!$B$16*Calculations!K34</f>
        <v>0.82700000000000007</v>
      </c>
      <c r="U34" s="81">
        <f>IF(settings!$B$13=0,(Calculations!M34*'Economic Adjustment'!O33)-Calculations!M34,0)</f>
        <v>0</v>
      </c>
      <c r="V34" s="154">
        <f>VLOOKUP(B34,'Remote School Building Weight'!$M$2:$P$174,3,FALSE)</f>
        <v>0</v>
      </c>
      <c r="W34" s="23">
        <f>'Small Dist Weight'!V33-Calculations!D34</f>
        <v>184.33659286833858</v>
      </c>
      <c r="X34" s="23">
        <f>IF(settings!$P$9=0,'Large District Weight'!H33*'Large District Weight'!G33,0)</f>
        <v>0</v>
      </c>
      <c r="Y34" s="23">
        <f t="shared" si="4"/>
        <v>655.91359286833858</v>
      </c>
      <c r="Z34" s="23">
        <f>IF(settings!$F$13=0,'Teacher Exp'!L34,0)</f>
        <v>0</v>
      </c>
      <c r="AA34" s="23">
        <f t="shared" si="5"/>
        <v>655.91359286833858</v>
      </c>
      <c r="AC34" s="24">
        <f>'Student Enrollment Data'!BU35</f>
        <v>14</v>
      </c>
      <c r="AD34" s="24">
        <f t="shared" si="6"/>
        <v>41.35</v>
      </c>
      <c r="AE34" s="24">
        <f>AD34*'Front page'!$B$16</f>
        <v>0.82700000000000007</v>
      </c>
      <c r="AG34" s="6">
        <f>M34*'Front page'!$E$3</f>
        <v>2030167.8408049035</v>
      </c>
      <c r="AH34" s="6">
        <f>N34*'Front page'!$E$3</f>
        <v>44923.907480930757</v>
      </c>
      <c r="AI34" s="6">
        <f>O34*'Front page'!$E$3</f>
        <v>66772.14663832332</v>
      </c>
      <c r="AJ34" s="6">
        <f>P34*'Front page'!$E$3</f>
        <v>26021.498322287764</v>
      </c>
      <c r="AK34" s="6">
        <f>Q34*'Front page'!$E$3</f>
        <v>124215.83161393969</v>
      </c>
      <c r="AL34" s="6">
        <f>S34*'Front page'!$E$3</f>
        <v>19147.894991872126</v>
      </c>
      <c r="AM34" s="5">
        <f>Z34*'Front page'!$E$3</f>
        <v>0</v>
      </c>
      <c r="AN34" s="6">
        <f>T34*'Front page'!$E$3</f>
        <v>4060.3356816098076</v>
      </c>
      <c r="AO34" s="6">
        <f>U34*'Front page'!$E$3</f>
        <v>0</v>
      </c>
      <c r="AP34" s="6">
        <f>W34*'Front page'!$E$3</f>
        <v>905040.44189805933</v>
      </c>
      <c r="AQ34" s="6">
        <f>V34*'Front page'!$E$3</f>
        <v>0</v>
      </c>
      <c r="AR34" s="6">
        <f>X34*'Front page'!$E$3</f>
        <v>0</v>
      </c>
      <c r="AS34" s="6">
        <f t="shared" si="7"/>
        <v>3220349.8974319259</v>
      </c>
      <c r="AT34" s="7">
        <f>IF(AS34&gt;'Funding Comparison'!D34*(1+'Front page'!$H$10),'Funding Comparison'!D34*(1+'Front page'!$H$10),AS34)</f>
        <v>1508454.0659999999</v>
      </c>
    </row>
    <row r="35" spans="1:46">
      <c r="A35" t="str">
        <f t="shared" si="0"/>
        <v>136</v>
      </c>
      <c r="B35">
        <f t="shared" si="2"/>
        <v>136</v>
      </c>
      <c r="C35" s="14" t="s">
        <v>43</v>
      </c>
      <c r="D35">
        <f>IF(settings!$G$4=0,'Student Enrollment Data'!AX36,'Student Enrollment Data'!CK36)</f>
        <v>837</v>
      </c>
      <c r="E35">
        <f>IF(settings!$G$4=0,'Student Enrollment Data'!AY36,'Student Enrollment Data'!CL36)</f>
        <v>188</v>
      </c>
      <c r="F35">
        <f>IF(settings!$G$4=0,'Student Enrollment Data'!AZ36,'Student Enrollment Data'!CM36)</f>
        <v>282</v>
      </c>
      <c r="G35" s="23">
        <f>'Student Enrollment Data'!BK36</f>
        <v>75</v>
      </c>
      <c r="H35">
        <f>'Student Enrollment Data'!BF36</f>
        <v>341</v>
      </c>
      <c r="I35">
        <f>SUM('Student Enrollment Data'!R36:X36,'Student Enrollment Data'!AQ36:AW36)</f>
        <v>0</v>
      </c>
      <c r="J35">
        <f>'Student Enrollment Data'!BS36</f>
        <v>77</v>
      </c>
      <c r="K35">
        <f t="shared" si="3"/>
        <v>83.7</v>
      </c>
      <c r="M35" s="27">
        <f t="shared" ref="M35:M66" si="8">MAX(D35,30)</f>
        <v>837</v>
      </c>
      <c r="N35" s="27">
        <f>E35*'Front page'!$B$20</f>
        <v>18.8</v>
      </c>
      <c r="O35" s="27">
        <f>F35*'Front page'!$B$21</f>
        <v>28.200000000000003</v>
      </c>
      <c r="P35">
        <f>G35*'Front page'!$B$18</f>
        <v>7.5</v>
      </c>
      <c r="Q35" s="27">
        <f>IF(settings!$B$4=0,Calculations!H35,Calculations!I35) *'Front page'!$B$11</f>
        <v>34.1</v>
      </c>
      <c r="R35" s="28">
        <f>ROUND(I35*'Front page'!$B$9,2)</f>
        <v>0</v>
      </c>
      <c r="S35" s="27">
        <f>J35*'Front page'!$B$14</f>
        <v>7.7</v>
      </c>
      <c r="T35" s="81">
        <f>'Front page'!$B$16*Calculations!K35</f>
        <v>1.6740000000000002</v>
      </c>
      <c r="U35" s="81">
        <f>IF(settings!$B$13=0,(Calculations!M35*'Economic Adjustment'!O34)-Calculations!M35,0)</f>
        <v>0</v>
      </c>
      <c r="V35" s="154">
        <f>VLOOKUP(B35,'Remote School Building Weight'!$M$2:$P$174,3,FALSE)</f>
        <v>0</v>
      </c>
      <c r="W35" s="23">
        <f>'Small Dist Weight'!V34-Calculations!D35</f>
        <v>115.23025862068971</v>
      </c>
      <c r="X35" s="23">
        <f>IF(settings!$P$9=0,'Large District Weight'!H34*'Large District Weight'!G34,0)</f>
        <v>0</v>
      </c>
      <c r="Y35" s="23">
        <f t="shared" si="4"/>
        <v>1050.2042586206899</v>
      </c>
      <c r="Z35" s="23">
        <f>IF(settings!$F$13=0,'Teacher Exp'!L35,0)</f>
        <v>0</v>
      </c>
      <c r="AA35" s="23">
        <f t="shared" si="5"/>
        <v>1050.2042586206899</v>
      </c>
      <c r="AC35" s="24">
        <f>'Student Enrollment Data'!BU36</f>
        <v>0</v>
      </c>
      <c r="AD35" s="24">
        <f t="shared" si="6"/>
        <v>83.7</v>
      </c>
      <c r="AE35" s="24">
        <f>AD35*'Front page'!$B$16</f>
        <v>1.6740000000000002</v>
      </c>
      <c r="AG35" s="6">
        <f>M35*'Front page'!$E$3</f>
        <v>4109432.8482556334</v>
      </c>
      <c r="AH35" s="6">
        <f>N35*'Front page'!$E$3</f>
        <v>92302.673294152817</v>
      </c>
      <c r="AI35" s="6">
        <f>O35*'Front page'!$E$3</f>
        <v>138454.00994122925</v>
      </c>
      <c r="AJ35" s="6">
        <f>P35*'Front page'!$E$3</f>
        <v>36822.874984369475</v>
      </c>
      <c r="AK35" s="6">
        <f>Q35*'Front page'!$E$3</f>
        <v>167421.33826226654</v>
      </c>
      <c r="AL35" s="6">
        <f>S35*'Front page'!$E$3</f>
        <v>37804.818317285994</v>
      </c>
      <c r="AM35" s="5">
        <f>Z35*'Front page'!$E$3</f>
        <v>0</v>
      </c>
      <c r="AN35" s="6">
        <f>T35*'Front page'!$E$3</f>
        <v>8218.8656965112677</v>
      </c>
      <c r="AO35" s="6">
        <f>U35*'Front page'!$E$3</f>
        <v>0</v>
      </c>
      <c r="AP35" s="6">
        <f>W35*'Front page'!$E$3</f>
        <v>565747.92101416271</v>
      </c>
      <c r="AQ35" s="6">
        <f>V35*'Front page'!$E$3</f>
        <v>0</v>
      </c>
      <c r="AR35" s="6">
        <f>X35*'Front page'!$E$3</f>
        <v>0</v>
      </c>
      <c r="AS35" s="6">
        <f t="shared" si="7"/>
        <v>5156205.3497656118</v>
      </c>
      <c r="AT35" s="7">
        <f>IF(AS35&gt;'Funding Comparison'!D35*(1+'Front page'!$H$10),'Funding Comparison'!D35*(1+'Front page'!$H$10),AS35)</f>
        <v>1344425.3235000002</v>
      </c>
    </row>
    <row r="36" spans="1:46">
      <c r="A36" t="str">
        <f t="shared" si="0"/>
        <v>137</v>
      </c>
      <c r="B36">
        <f t="shared" si="2"/>
        <v>137</v>
      </c>
      <c r="C36" s="14" t="s">
        <v>44</v>
      </c>
      <c r="D36">
        <f>IF(settings!$G$4=0,'Student Enrollment Data'!AX37,'Student Enrollment Data'!CK37)</f>
        <v>1031</v>
      </c>
      <c r="E36">
        <f>IF(settings!$G$4=0,'Student Enrollment Data'!AY37,'Student Enrollment Data'!CL37)</f>
        <v>267</v>
      </c>
      <c r="F36">
        <f>IF(settings!$G$4=0,'Student Enrollment Data'!AZ37,'Student Enrollment Data'!CM37)</f>
        <v>332</v>
      </c>
      <c r="G36" s="23">
        <f>'Student Enrollment Data'!BK37</f>
        <v>119</v>
      </c>
      <c r="H36">
        <f>'Student Enrollment Data'!BF37</f>
        <v>557</v>
      </c>
      <c r="I36">
        <f>SUM('Student Enrollment Data'!R37:X37,'Student Enrollment Data'!AQ37:AW37)</f>
        <v>0</v>
      </c>
      <c r="J36">
        <f>'Student Enrollment Data'!BS37</f>
        <v>120</v>
      </c>
      <c r="K36">
        <f t="shared" si="3"/>
        <v>103.10000000000001</v>
      </c>
      <c r="M36" s="27">
        <f t="shared" si="8"/>
        <v>1031</v>
      </c>
      <c r="N36" s="27">
        <f>E36*'Front page'!$B$20</f>
        <v>26.700000000000003</v>
      </c>
      <c r="O36" s="27">
        <f>F36*'Front page'!$B$21</f>
        <v>33.200000000000003</v>
      </c>
      <c r="P36">
        <f>G36*'Front page'!$B$18</f>
        <v>11.9</v>
      </c>
      <c r="Q36" s="27">
        <f>IF(settings!$B$4=0,Calculations!H36,Calculations!I36) *'Front page'!$B$11</f>
        <v>55.7</v>
      </c>
      <c r="R36" s="28">
        <f>ROUND(I36*'Front page'!$B$9,2)</f>
        <v>0</v>
      </c>
      <c r="S36" s="27">
        <f>J36*'Front page'!$B$14</f>
        <v>12</v>
      </c>
      <c r="T36" s="81">
        <f>'Front page'!$B$16*Calculations!K36</f>
        <v>2.0620000000000003</v>
      </c>
      <c r="U36" s="81">
        <f>IF(settings!$B$13=0,(Calculations!M36*'Economic Adjustment'!O35)-Calculations!M36,0)</f>
        <v>0</v>
      </c>
      <c r="V36" s="154">
        <f>VLOOKUP(B36,'Remote School Building Weight'!$M$2:$P$174,3,FALSE)</f>
        <v>0</v>
      </c>
      <c r="W36" s="23">
        <f>'Small Dist Weight'!V35-Calculations!D36</f>
        <v>111.23060344827582</v>
      </c>
      <c r="X36" s="23">
        <f>IF(settings!$P$9=0,'Large District Weight'!H35*'Large District Weight'!G35,0)</f>
        <v>0</v>
      </c>
      <c r="Y36" s="23">
        <f t="shared" si="4"/>
        <v>1283.7926034482759</v>
      </c>
      <c r="Z36" s="23">
        <f>IF(settings!$F$13=0,'Teacher Exp'!L36,0)</f>
        <v>0</v>
      </c>
      <c r="AA36" s="23">
        <f t="shared" si="5"/>
        <v>1283.7926034482759</v>
      </c>
      <c r="AC36" s="24">
        <f>'Student Enrollment Data'!BU37</f>
        <v>38</v>
      </c>
      <c r="AD36" s="24">
        <f t="shared" si="6"/>
        <v>103.10000000000001</v>
      </c>
      <c r="AE36" s="24">
        <f>AD36*'Front page'!$B$16</f>
        <v>2.0620000000000003</v>
      </c>
      <c r="AG36" s="6">
        <f>M36*'Front page'!$E$3</f>
        <v>5061917.8811846571</v>
      </c>
      <c r="AH36" s="6">
        <f>N36*'Front page'!$E$3</f>
        <v>131089.43494435534</v>
      </c>
      <c r="AI36" s="6">
        <f>O36*'Front page'!$E$3</f>
        <v>163002.59326414223</v>
      </c>
      <c r="AJ36" s="6">
        <f>P36*'Front page'!$E$3</f>
        <v>58425.628308532898</v>
      </c>
      <c r="AK36" s="6">
        <f>Q36*'Front page'!$E$3</f>
        <v>273471.21821725066</v>
      </c>
      <c r="AL36" s="6">
        <f>S36*'Front page'!$E$3</f>
        <v>58916.599974991157</v>
      </c>
      <c r="AM36" s="5">
        <f>Z36*'Front page'!$E$3</f>
        <v>0</v>
      </c>
      <c r="AN36" s="6">
        <f>T36*'Front page'!$E$3</f>
        <v>10123.835762369315</v>
      </c>
      <c r="AO36" s="6">
        <f>U36*'Front page'!$E$3</f>
        <v>0</v>
      </c>
      <c r="AP36" s="6">
        <f>W36*'Front page'!$E$3</f>
        <v>546110.74736157816</v>
      </c>
      <c r="AQ36" s="6">
        <f>V36*'Front page'!$E$3</f>
        <v>0</v>
      </c>
      <c r="AR36" s="6">
        <f>X36*'Front page'!$E$3</f>
        <v>0</v>
      </c>
      <c r="AS36" s="6">
        <f t="shared" si="7"/>
        <v>6303057.9390178761</v>
      </c>
      <c r="AT36" s="7">
        <f>IF(AS36&gt;'Funding Comparison'!D36*(1+'Front page'!$H$10),'Funding Comparison'!D36*(1+'Front page'!$H$10),AS36)</f>
        <v>1307032.4610000001</v>
      </c>
    </row>
    <row r="37" spans="1:46">
      <c r="A37" t="str">
        <f t="shared" si="0"/>
        <v>139</v>
      </c>
      <c r="B37">
        <f t="shared" si="2"/>
        <v>139</v>
      </c>
      <c r="C37" s="14" t="s">
        <v>45</v>
      </c>
      <c r="D37">
        <f>IF(settings!$G$4=0,'Student Enrollment Data'!AX38,'Student Enrollment Data'!CK38)</f>
        <v>8689.1654411764703</v>
      </c>
      <c r="E37">
        <f>IF(settings!$G$4=0,'Student Enrollment Data'!AY38,'Student Enrollment Data'!CL38)</f>
        <v>2373.5</v>
      </c>
      <c r="F37">
        <f>IF(settings!$G$4=0,'Student Enrollment Data'!AZ38,'Student Enrollment Data'!CM38)</f>
        <v>2602.8424019607842</v>
      </c>
      <c r="G37" s="23">
        <f>'Student Enrollment Data'!BK38</f>
        <v>946</v>
      </c>
      <c r="H37">
        <f>'Student Enrollment Data'!BF38</f>
        <v>5098</v>
      </c>
      <c r="I37">
        <f>SUM('Student Enrollment Data'!R38:X38,'Student Enrollment Data'!AQ38:AW38)</f>
        <v>328.71289148399774</v>
      </c>
      <c r="J37">
        <f>'Student Enrollment Data'!BS38</f>
        <v>1335</v>
      </c>
      <c r="K37">
        <f t="shared" si="3"/>
        <v>868.91654411764705</v>
      </c>
      <c r="M37" s="27">
        <f t="shared" si="8"/>
        <v>8689.1654411764703</v>
      </c>
      <c r="N37" s="27">
        <f>E37*'Front page'!$B$20</f>
        <v>237.35000000000002</v>
      </c>
      <c r="O37" s="27">
        <f>F37*'Front page'!$B$21</f>
        <v>260.28424019607843</v>
      </c>
      <c r="P37">
        <f>G37*'Front page'!$B$18</f>
        <v>94.600000000000009</v>
      </c>
      <c r="Q37" s="27">
        <f>IF(settings!$B$4=0,Calculations!H37,Calculations!I37) *'Front page'!$B$11</f>
        <v>509.8</v>
      </c>
      <c r="R37" s="28">
        <f>ROUND(I37*'Front page'!$B$9,2)</f>
        <v>0</v>
      </c>
      <c r="S37" s="27">
        <f>J37*'Front page'!$B$14</f>
        <v>133.5</v>
      </c>
      <c r="T37" s="81">
        <f>'Front page'!$B$16*Calculations!K37</f>
        <v>17.378330882352941</v>
      </c>
      <c r="U37" s="81">
        <f>IF(settings!$B$13=0,(Calculations!M37*'Economic Adjustment'!O36)-Calculations!M37,0)</f>
        <v>0</v>
      </c>
      <c r="V37" s="154">
        <f>VLOOKUP(B37,'Remote School Building Weight'!$M$2:$P$174,3,FALSE)</f>
        <v>0</v>
      </c>
      <c r="W37" s="23">
        <f>'Small Dist Weight'!V36-Calculations!D37</f>
        <v>0</v>
      </c>
      <c r="X37" s="23">
        <f>IF(settings!$P$9=0,'Large District Weight'!H36*'Large District Weight'!G36,0)</f>
        <v>0</v>
      </c>
      <c r="Y37" s="23">
        <f t="shared" si="4"/>
        <v>9942.0780122549022</v>
      </c>
      <c r="Z37" s="23">
        <f>IF(settings!$F$13=0,'Teacher Exp'!L37,0)</f>
        <v>0</v>
      </c>
      <c r="AA37" s="23">
        <f t="shared" si="5"/>
        <v>9942.0780122549022</v>
      </c>
      <c r="AC37" s="24">
        <f>'Student Enrollment Data'!BU38</f>
        <v>242</v>
      </c>
      <c r="AD37" s="24">
        <f t="shared" si="6"/>
        <v>868.91654411764705</v>
      </c>
      <c r="AE37" s="24">
        <f>AD37*'Front page'!$B$16</f>
        <v>17.378330882352941</v>
      </c>
      <c r="AG37" s="6">
        <f>M37*'Front page'!$E$3</f>
        <v>42661340.367859304</v>
      </c>
      <c r="AH37" s="6">
        <f>N37*'Front page'!$E$3</f>
        <v>1165321.2503386794</v>
      </c>
      <c r="AI37" s="6">
        <f>O37*'Front page'!$E$3</f>
        <v>1277921.8716189056</v>
      </c>
      <c r="AJ37" s="6">
        <f>P37*'Front page'!$E$3</f>
        <v>464459.19646951364</v>
      </c>
      <c r="AK37" s="6">
        <f>Q37*'Front page'!$E$3</f>
        <v>2502973.5556042078</v>
      </c>
      <c r="AL37" s="6">
        <f>S37*'Front page'!$E$3</f>
        <v>655447.17472177662</v>
      </c>
      <c r="AM37" s="5">
        <f>Z37*'Front page'!$E$3</f>
        <v>0</v>
      </c>
      <c r="AN37" s="6">
        <f>T37*'Front page'!$E$3</f>
        <v>85322.680735718604</v>
      </c>
      <c r="AO37" s="6">
        <f>U37*'Front page'!$E$3</f>
        <v>0</v>
      </c>
      <c r="AP37" s="6">
        <f>W37*'Front page'!$E$3</f>
        <v>0</v>
      </c>
      <c r="AQ37" s="6">
        <f>V37*'Front page'!$E$3</f>
        <v>0</v>
      </c>
      <c r="AR37" s="6">
        <f>X37*'Front page'!$E$3</f>
        <v>0</v>
      </c>
      <c r="AS37" s="6">
        <f t="shared" si="7"/>
        <v>48812786.097348109</v>
      </c>
      <c r="AT37" s="7">
        <f>IF(AS37&gt;'Funding Comparison'!D37*(1+'Front page'!$H$10),'Funding Comparison'!D37*(1+'Front page'!$H$10),AS37)</f>
        <v>1833382.9500000002</v>
      </c>
    </row>
    <row r="38" spans="1:46">
      <c r="A38" t="str">
        <f t="shared" si="0"/>
        <v>148</v>
      </c>
      <c r="B38">
        <f t="shared" si="2"/>
        <v>148</v>
      </c>
      <c r="C38" s="14" t="s">
        <v>46</v>
      </c>
      <c r="D38">
        <f>IF(settings!$G$4=0,'Student Enrollment Data'!AX39,'Student Enrollment Data'!CK39)</f>
        <v>502.5</v>
      </c>
      <c r="E38">
        <f>IF(settings!$G$4=0,'Student Enrollment Data'!AY39,'Student Enrollment Data'!CL39)</f>
        <v>140.5</v>
      </c>
      <c r="F38">
        <f>IF(settings!$G$4=0,'Student Enrollment Data'!AZ39,'Student Enrollment Data'!CM39)</f>
        <v>148</v>
      </c>
      <c r="G38" s="23">
        <f>'Student Enrollment Data'!BK39</f>
        <v>71</v>
      </c>
      <c r="H38">
        <f>'Student Enrollment Data'!BF39</f>
        <v>223</v>
      </c>
      <c r="I38">
        <f>SUM('Student Enrollment Data'!R39:X39,'Student Enrollment Data'!AQ39:AW39)</f>
        <v>0</v>
      </c>
      <c r="J38">
        <f>'Student Enrollment Data'!BS39</f>
        <v>42.39274128674618</v>
      </c>
      <c r="K38">
        <f t="shared" si="3"/>
        <v>50.25</v>
      </c>
      <c r="M38" s="27">
        <f t="shared" si="8"/>
        <v>502.5</v>
      </c>
      <c r="N38" s="27">
        <f>E38*'Front page'!$B$20</f>
        <v>14.05</v>
      </c>
      <c r="O38" s="27">
        <f>F38*'Front page'!$B$21</f>
        <v>14.8</v>
      </c>
      <c r="P38">
        <f>G38*'Front page'!$B$18</f>
        <v>7.1000000000000005</v>
      </c>
      <c r="Q38" s="27">
        <f>IF(settings!$B$4=0,Calculations!H38,Calculations!I38) *'Front page'!$B$11</f>
        <v>22.3</v>
      </c>
      <c r="R38" s="28">
        <f>ROUND(I38*'Front page'!$B$9,2)</f>
        <v>0</v>
      </c>
      <c r="S38" s="27">
        <f>J38*'Front page'!$B$14</f>
        <v>4.2392741286746185</v>
      </c>
      <c r="T38" s="81">
        <f>'Front page'!$B$16*Calculations!K38</f>
        <v>1.0050000000000001</v>
      </c>
      <c r="U38" s="81">
        <f>IF(settings!$B$13=0,(Calculations!M38*'Economic Adjustment'!O37)-Calculations!M38,0)</f>
        <v>0</v>
      </c>
      <c r="V38" s="154">
        <f>VLOOKUP(B38,'Remote School Building Weight'!$M$2:$P$174,3,FALSE)</f>
        <v>57.681353595170457</v>
      </c>
      <c r="W38" s="23">
        <f>'Small Dist Weight'!V37-Calculations!D38</f>
        <v>171.21620101880876</v>
      </c>
      <c r="X38" s="23">
        <f>IF(settings!$P$9=0,'Large District Weight'!H37*'Large District Weight'!G37,0)</f>
        <v>0</v>
      </c>
      <c r="Y38" s="23">
        <f t="shared" si="4"/>
        <v>794.89182874265373</v>
      </c>
      <c r="Z38" s="23">
        <f>IF(settings!$F$13=0,'Teacher Exp'!L38,0)</f>
        <v>0</v>
      </c>
      <c r="AA38" s="23">
        <f t="shared" si="5"/>
        <v>794.89182874265373</v>
      </c>
      <c r="AC38" s="24">
        <f>'Student Enrollment Data'!BU39</f>
        <v>0</v>
      </c>
      <c r="AD38" s="24">
        <f t="shared" si="6"/>
        <v>50.25</v>
      </c>
      <c r="AE38" s="24">
        <f>AD38*'Front page'!$B$16</f>
        <v>1.0050000000000001</v>
      </c>
      <c r="AG38" s="6">
        <f>M38*'Front page'!$E$3</f>
        <v>2467132.6239527548</v>
      </c>
      <c r="AH38" s="6">
        <f>N38*'Front page'!$E$3</f>
        <v>68981.51913738549</v>
      </c>
      <c r="AI38" s="6">
        <f>O38*'Front page'!$E$3</f>
        <v>72663.806635822431</v>
      </c>
      <c r="AJ38" s="6">
        <f>P38*'Front page'!$E$3</f>
        <v>34858.988318536438</v>
      </c>
      <c r="AK38" s="6">
        <f>Q38*'Front page'!$E$3</f>
        <v>109486.6816201919</v>
      </c>
      <c r="AL38" s="6">
        <f>S38*'Front page'!$E$3</f>
        <v>20813.634835287641</v>
      </c>
      <c r="AM38" s="5">
        <f>Z38*'Front page'!$E$3</f>
        <v>0</v>
      </c>
      <c r="AN38" s="6">
        <f>T38*'Front page'!$E$3</f>
        <v>4934.2652479055096</v>
      </c>
      <c r="AO38" s="6">
        <f>U38*'Front page'!$E$3</f>
        <v>0</v>
      </c>
      <c r="AP38" s="6">
        <f>W38*'Front page'!$E$3</f>
        <v>840623.03538856911</v>
      </c>
      <c r="AQ38" s="6">
        <f>V38*'Front page'!$E$3</f>
        <v>283199.10298188968</v>
      </c>
      <c r="AR38" s="6">
        <f>X38*'Front page'!$E$3</f>
        <v>0</v>
      </c>
      <c r="AS38" s="6">
        <f t="shared" si="7"/>
        <v>3902693.658118343</v>
      </c>
      <c r="AT38" s="7">
        <f>IF(AS38&gt;'Funding Comparison'!D38*(1+'Front page'!$H$10),'Funding Comparison'!D38*(1+'Front page'!$H$10),AS38)</f>
        <v>1399222.986</v>
      </c>
    </row>
    <row r="39" spans="1:46">
      <c r="A39" t="str">
        <f t="shared" si="0"/>
        <v>149</v>
      </c>
      <c r="B39">
        <f t="shared" si="2"/>
        <v>149</v>
      </c>
      <c r="C39" s="14" t="s">
        <v>47</v>
      </c>
      <c r="D39">
        <f>IF(settings!$G$4=0,'Student Enrollment Data'!AX40,'Student Enrollment Data'!CK40)</f>
        <v>157</v>
      </c>
      <c r="E39">
        <f>IF(settings!$G$4=0,'Student Enrollment Data'!AY40,'Student Enrollment Data'!CL40)</f>
        <v>37</v>
      </c>
      <c r="F39">
        <f>IF(settings!$G$4=0,'Student Enrollment Data'!AZ40,'Student Enrollment Data'!CM40)</f>
        <v>59</v>
      </c>
      <c r="G39" s="23">
        <f>'Student Enrollment Data'!BK40</f>
        <v>33</v>
      </c>
      <c r="H39">
        <f>'Student Enrollment Data'!BF40</f>
        <v>72</v>
      </c>
      <c r="I39">
        <f>SUM('Student Enrollment Data'!R40:X40,'Student Enrollment Data'!AQ40:AW40)</f>
        <v>0</v>
      </c>
      <c r="J39">
        <f>'Student Enrollment Data'!BS40</f>
        <v>0</v>
      </c>
      <c r="K39">
        <f t="shared" si="3"/>
        <v>15.700000000000001</v>
      </c>
      <c r="M39" s="27">
        <f t="shared" si="8"/>
        <v>157</v>
      </c>
      <c r="N39" s="27">
        <f>E39*'Front page'!$B$20</f>
        <v>3.7</v>
      </c>
      <c r="O39" s="27">
        <f>F39*'Front page'!$B$21</f>
        <v>5.9</v>
      </c>
      <c r="P39">
        <f>G39*'Front page'!$B$18</f>
        <v>3.3000000000000003</v>
      </c>
      <c r="Q39" s="27">
        <f>IF(settings!$B$4=0,Calculations!H39,Calculations!I39) *'Front page'!$B$11</f>
        <v>7.2</v>
      </c>
      <c r="R39" s="28">
        <f>ROUND(I39*'Front page'!$B$9,2)</f>
        <v>0</v>
      </c>
      <c r="S39" s="27">
        <f>J39*'Front page'!$B$14</f>
        <v>0</v>
      </c>
      <c r="T39" s="81">
        <f>'Front page'!$B$16*Calculations!K39</f>
        <v>0.314</v>
      </c>
      <c r="U39" s="81">
        <f>IF(settings!$B$13=0,(Calculations!M39*'Economic Adjustment'!O38)-Calculations!M39,0)</f>
        <v>0</v>
      </c>
      <c r="V39" s="154">
        <f>VLOOKUP(B39,'Remote School Building Weight'!$M$2:$P$174,3,FALSE)</f>
        <v>0</v>
      </c>
      <c r="W39" s="23">
        <f>'Small Dist Weight'!V38-Calculations!D39</f>
        <v>158.1292789968652</v>
      </c>
      <c r="X39" s="23">
        <f>IF(settings!$P$9=0,'Large District Weight'!H38*'Large District Weight'!G38,0)</f>
        <v>0</v>
      </c>
      <c r="Y39" s="23">
        <f t="shared" si="4"/>
        <v>335.54327899686518</v>
      </c>
      <c r="Z39" s="23">
        <f>IF(settings!$F$13=0,'Teacher Exp'!L39,0)</f>
        <v>0</v>
      </c>
      <c r="AA39" s="23">
        <f t="shared" si="5"/>
        <v>335.54327899686518</v>
      </c>
      <c r="AC39" s="24">
        <f>'Student Enrollment Data'!BU40</f>
        <v>0</v>
      </c>
      <c r="AD39" s="24">
        <f t="shared" si="6"/>
        <v>15.700000000000001</v>
      </c>
      <c r="AE39" s="24">
        <f>AD39*'Front page'!$B$16</f>
        <v>0.314</v>
      </c>
      <c r="AG39" s="6">
        <f>M39*'Front page'!$E$3</f>
        <v>770825.51633946761</v>
      </c>
      <c r="AH39" s="6">
        <f>N39*'Front page'!$E$3</f>
        <v>18165.951658955608</v>
      </c>
      <c r="AI39" s="6">
        <f>O39*'Front page'!$E$3</f>
        <v>28967.328321037319</v>
      </c>
      <c r="AJ39" s="6">
        <f>P39*'Front page'!$E$3</f>
        <v>16202.064993122569</v>
      </c>
      <c r="AK39" s="6">
        <f>Q39*'Front page'!$E$3</f>
        <v>35349.959984994697</v>
      </c>
      <c r="AL39" s="6">
        <f>S39*'Front page'!$E$3</f>
        <v>0</v>
      </c>
      <c r="AM39" s="5">
        <f>Z39*'Front page'!$E$3</f>
        <v>0</v>
      </c>
      <c r="AN39" s="6">
        <f>T39*'Front page'!$E$3</f>
        <v>1541.6510326789353</v>
      </c>
      <c r="AO39" s="6">
        <f>U39*'Front page'!$E$3</f>
        <v>0</v>
      </c>
      <c r="AP39" s="6">
        <f>W39*'Front page'!$E$3</f>
        <v>776369.95624933986</v>
      </c>
      <c r="AQ39" s="6">
        <f>V39*'Front page'!$E$3</f>
        <v>0</v>
      </c>
      <c r="AR39" s="6">
        <f>X39*'Front page'!$E$3</f>
        <v>0</v>
      </c>
      <c r="AS39" s="6">
        <f t="shared" si="7"/>
        <v>1647422.4285795968</v>
      </c>
      <c r="AT39" s="7">
        <f>IF(AS39&gt;'Funding Comparison'!D39*(1+'Front page'!$H$10),'Funding Comparison'!D39*(1+'Front page'!$H$10),AS39)</f>
        <v>1470771.2775000001</v>
      </c>
    </row>
    <row r="40" spans="1:46">
      <c r="A40" t="str">
        <f t="shared" si="0"/>
        <v>150</v>
      </c>
      <c r="B40">
        <f t="shared" si="2"/>
        <v>150</v>
      </c>
      <c r="C40" s="14" t="s">
        <v>48</v>
      </c>
      <c r="D40">
        <f>IF(settings!$G$4=0,'Student Enrollment Data'!AX41,'Student Enrollment Data'!CK41)</f>
        <v>851</v>
      </c>
      <c r="E40">
        <f>IF(settings!$G$4=0,'Student Enrollment Data'!AY41,'Student Enrollment Data'!CL41)</f>
        <v>256</v>
      </c>
      <c r="F40">
        <f>IF(settings!$G$4=0,'Student Enrollment Data'!AZ41,'Student Enrollment Data'!CM41)</f>
        <v>259</v>
      </c>
      <c r="G40" s="23">
        <f>'Student Enrollment Data'!BK41</f>
        <v>97</v>
      </c>
      <c r="H40">
        <f>'Student Enrollment Data'!BF41</f>
        <v>252</v>
      </c>
      <c r="I40">
        <f>SUM('Student Enrollment Data'!R41:X41,'Student Enrollment Data'!AQ41:AW41)</f>
        <v>0</v>
      </c>
      <c r="J40">
        <f>'Student Enrollment Data'!BS41</f>
        <v>68.210030156247328</v>
      </c>
      <c r="K40">
        <f t="shared" si="3"/>
        <v>85.100000000000009</v>
      </c>
      <c r="M40" s="27">
        <f t="shared" si="8"/>
        <v>851</v>
      </c>
      <c r="N40" s="27">
        <f>E40*'Front page'!$B$20</f>
        <v>25.6</v>
      </c>
      <c r="O40" s="27">
        <f>F40*'Front page'!$B$21</f>
        <v>25.900000000000002</v>
      </c>
      <c r="P40">
        <f>G40*'Front page'!$B$18</f>
        <v>9.7000000000000011</v>
      </c>
      <c r="Q40" s="27">
        <f>IF(settings!$B$4=0,Calculations!H40,Calculations!I40) *'Front page'!$B$11</f>
        <v>25.200000000000003</v>
      </c>
      <c r="R40" s="28">
        <f>ROUND(I40*'Front page'!$B$9,2)</f>
        <v>0</v>
      </c>
      <c r="S40" s="27">
        <f>J40*'Front page'!$B$14</f>
        <v>6.8210030156247328</v>
      </c>
      <c r="T40" s="81">
        <f>'Front page'!$B$16*Calculations!K40</f>
        <v>1.7020000000000002</v>
      </c>
      <c r="U40" s="81">
        <f>IF(settings!$B$13=0,(Calculations!M40*'Economic Adjustment'!O39)-Calculations!M40,0)</f>
        <v>0</v>
      </c>
      <c r="V40" s="154">
        <f>VLOOKUP(B40,'Remote School Building Weight'!$M$2:$P$174,3,FALSE)</f>
        <v>0</v>
      </c>
      <c r="W40" s="23">
        <f>'Small Dist Weight'!V39-Calculations!D40</f>
        <v>134.50681034482761</v>
      </c>
      <c r="X40" s="23">
        <f>IF(settings!$P$9=0,'Large District Weight'!H39*'Large District Weight'!G39,0)</f>
        <v>0</v>
      </c>
      <c r="Y40" s="23">
        <f t="shared" si="4"/>
        <v>1080.4298133604525</v>
      </c>
      <c r="Z40" s="23">
        <f>IF(settings!$F$13=0,'Teacher Exp'!L40,0)</f>
        <v>0</v>
      </c>
      <c r="AA40" s="23">
        <f t="shared" si="5"/>
        <v>1080.4298133604525</v>
      </c>
      <c r="AC40" s="24">
        <f>'Student Enrollment Data'!BU41</f>
        <v>28</v>
      </c>
      <c r="AD40" s="24">
        <f t="shared" si="6"/>
        <v>85.100000000000009</v>
      </c>
      <c r="AE40" s="24">
        <f>AD40*'Front page'!$B$16</f>
        <v>1.7020000000000002</v>
      </c>
      <c r="AG40" s="6">
        <f>M40*'Front page'!$E$3</f>
        <v>4178168.8815597896</v>
      </c>
      <c r="AH40" s="6">
        <f>N40*'Front page'!$E$3</f>
        <v>125688.74661331448</v>
      </c>
      <c r="AI40" s="6">
        <f>O40*'Front page'!$E$3</f>
        <v>127161.66161268926</v>
      </c>
      <c r="AJ40" s="6">
        <f>P40*'Front page'!$E$3</f>
        <v>47624.251646451194</v>
      </c>
      <c r="AK40" s="6">
        <f>Q40*'Front page'!$E$3</f>
        <v>123724.85994748144</v>
      </c>
      <c r="AL40" s="6">
        <f>S40*'Front page'!$E$3</f>
        <v>33489.192174980897</v>
      </c>
      <c r="AM40" s="5">
        <f>Z40*'Front page'!$E$3</f>
        <v>0</v>
      </c>
      <c r="AN40" s="6">
        <f>T40*'Front page'!$E$3</f>
        <v>8356.3377631195799</v>
      </c>
      <c r="AO40" s="6">
        <f>U40*'Front page'!$E$3</f>
        <v>0</v>
      </c>
      <c r="AP40" s="6">
        <f>W40*'Front page'!$E$3</f>
        <v>660390.32824985089</v>
      </c>
      <c r="AQ40" s="6">
        <f>V40*'Front page'!$E$3</f>
        <v>0</v>
      </c>
      <c r="AR40" s="6">
        <f>X40*'Front page'!$E$3</f>
        <v>0</v>
      </c>
      <c r="AS40" s="6">
        <f t="shared" si="7"/>
        <v>5304604.2595676789</v>
      </c>
      <c r="AT40" s="7">
        <f>IF(AS40&gt;'Funding Comparison'!D40*(1+'Front page'!$H$10),'Funding Comparison'!D40*(1+'Front page'!$H$10),AS40)</f>
        <v>1515728.2980000002</v>
      </c>
    </row>
    <row r="41" spans="1:46">
      <c r="A41" t="str">
        <f t="shared" si="0"/>
        <v>151</v>
      </c>
      <c r="B41">
        <f t="shared" si="2"/>
        <v>151</v>
      </c>
      <c r="C41" s="14" t="s">
        <v>49</v>
      </c>
      <c r="D41">
        <f>IF(settings!$G$4=0,'Student Enrollment Data'!AX42,'Student Enrollment Data'!CK42)</f>
        <v>5245.4730392156862</v>
      </c>
      <c r="E41">
        <f>IF(settings!$G$4=0,'Student Enrollment Data'!AY42,'Student Enrollment Data'!CL42)</f>
        <v>1461</v>
      </c>
      <c r="F41">
        <f>IF(settings!$G$4=0,'Student Enrollment Data'!AZ42,'Student Enrollment Data'!CM42)</f>
        <v>1569.6593137254902</v>
      </c>
      <c r="G41" s="23">
        <f>'Student Enrollment Data'!BK42</f>
        <v>581</v>
      </c>
      <c r="H41">
        <f>'Student Enrollment Data'!BF42</f>
        <v>2582</v>
      </c>
      <c r="I41">
        <f>SUM('Student Enrollment Data'!R42:X42,'Student Enrollment Data'!AQ42:AW42)</f>
        <v>245.50253732686818</v>
      </c>
      <c r="J41">
        <f>'Student Enrollment Data'!BS42</f>
        <v>860</v>
      </c>
      <c r="K41">
        <f t="shared" si="3"/>
        <v>524.54730392156864</v>
      </c>
      <c r="M41" s="27">
        <f t="shared" si="8"/>
        <v>5245.4730392156862</v>
      </c>
      <c r="N41" s="27">
        <f>E41*'Front page'!$B$20</f>
        <v>146.1</v>
      </c>
      <c r="O41" s="27">
        <f>F41*'Front page'!$B$21</f>
        <v>156.96593137254902</v>
      </c>
      <c r="P41">
        <f>G41*'Front page'!$B$18</f>
        <v>58.1</v>
      </c>
      <c r="Q41" s="27">
        <f>IF(settings!$B$4=0,Calculations!H41,Calculations!I41) *'Front page'!$B$11</f>
        <v>258.2</v>
      </c>
      <c r="R41" s="28">
        <f>ROUND(I41*'Front page'!$B$9,2)</f>
        <v>0</v>
      </c>
      <c r="S41" s="27">
        <f>J41*'Front page'!$B$14</f>
        <v>86</v>
      </c>
      <c r="T41" s="81">
        <f>'Front page'!$B$16*Calculations!K41</f>
        <v>10.490946078431373</v>
      </c>
      <c r="U41" s="81">
        <f>IF(settings!$B$13=0,(Calculations!M41*'Economic Adjustment'!O40)-Calculations!M41,0)</f>
        <v>0</v>
      </c>
      <c r="V41" s="154">
        <f>VLOOKUP(B41,'Remote School Building Weight'!$M$2:$P$174,3,FALSE)</f>
        <v>218.85431001340464</v>
      </c>
      <c r="W41" s="23">
        <f>'Small Dist Weight'!V40-Calculations!D41</f>
        <v>0</v>
      </c>
      <c r="X41" s="23">
        <f>IF(settings!$P$9=0,'Large District Weight'!H40*'Large District Weight'!G40,0)</f>
        <v>0</v>
      </c>
      <c r="Y41" s="23">
        <f t="shared" si="4"/>
        <v>6180.1842266800713</v>
      </c>
      <c r="Z41" s="23">
        <f>IF(settings!$F$13=0,'Teacher Exp'!L41,0)</f>
        <v>0</v>
      </c>
      <c r="AA41" s="23">
        <f t="shared" si="5"/>
        <v>6180.1842266800713</v>
      </c>
      <c r="AC41" s="24">
        <f>'Student Enrollment Data'!BU42</f>
        <v>55</v>
      </c>
      <c r="AD41" s="24">
        <f t="shared" si="6"/>
        <v>524.54730392156864</v>
      </c>
      <c r="AE41" s="24">
        <f>AD41*'Front page'!$B$16</f>
        <v>10.490946078431373</v>
      </c>
      <c r="AG41" s="6">
        <f>M41*'Front page'!$E$3</f>
        <v>25753786.394255973</v>
      </c>
      <c r="AH41" s="6">
        <f>N41*'Front page'!$E$3</f>
        <v>717309.60469551734</v>
      </c>
      <c r="AI41" s="6">
        <f>O41*'Front page'!$E$3</f>
        <v>770658.24903153209</v>
      </c>
      <c r="AJ41" s="6">
        <f>P41*'Front page'!$E$3</f>
        <v>285254.53821224888</v>
      </c>
      <c r="AK41" s="6">
        <f>Q41*'Front page'!$E$3</f>
        <v>1267688.8427952263</v>
      </c>
      <c r="AL41" s="6">
        <f>S41*'Front page'!$E$3</f>
        <v>422235.6331541033</v>
      </c>
      <c r="AM41" s="5">
        <f>Z41*'Front page'!$E$3</f>
        <v>0</v>
      </c>
      <c r="AN41" s="6">
        <f>T41*'Front page'!$E$3</f>
        <v>51507.572788511949</v>
      </c>
      <c r="AO41" s="6">
        <f>U41*'Front page'!$E$3</f>
        <v>0</v>
      </c>
      <c r="AP41" s="6">
        <f>W41*'Front page'!$E$3</f>
        <v>0</v>
      </c>
      <c r="AQ41" s="6">
        <f>V41*'Front page'!$E$3</f>
        <v>1074512.6529885386</v>
      </c>
      <c r="AR41" s="6">
        <f>X41*'Front page'!$E$3</f>
        <v>0</v>
      </c>
      <c r="AS41" s="6">
        <f t="shared" si="7"/>
        <v>30342953.487921648</v>
      </c>
      <c r="AT41" s="7">
        <f>IF(AS41&gt;'Funding Comparison'!D41*(1+'Front page'!$H$10),'Funding Comparison'!D41*(1+'Front page'!$H$10),AS41)</f>
        <v>1465099.125</v>
      </c>
    </row>
    <row r="42" spans="1:46">
      <c r="A42" t="str">
        <f t="shared" si="0"/>
        <v>161</v>
      </c>
      <c r="B42">
        <f t="shared" si="2"/>
        <v>161</v>
      </c>
      <c r="C42" s="14" t="s">
        <v>50</v>
      </c>
      <c r="D42">
        <f>IF(settings!$G$4=0,'Student Enrollment Data'!AX43,'Student Enrollment Data'!CK43)</f>
        <v>116</v>
      </c>
      <c r="E42">
        <f>IF(settings!$G$4=0,'Student Enrollment Data'!AY43,'Student Enrollment Data'!CL43)</f>
        <v>27</v>
      </c>
      <c r="F42">
        <f>IF(settings!$G$4=0,'Student Enrollment Data'!AZ43,'Student Enrollment Data'!CM43)</f>
        <v>36</v>
      </c>
      <c r="G42" s="23">
        <f>'Student Enrollment Data'!BK43</f>
        <v>13</v>
      </c>
      <c r="H42">
        <f>'Student Enrollment Data'!BF43</f>
        <v>90</v>
      </c>
      <c r="I42">
        <f>SUM('Student Enrollment Data'!R43:X43,'Student Enrollment Data'!AQ43:AW43)</f>
        <v>0</v>
      </c>
      <c r="J42">
        <f>'Student Enrollment Data'!BS43</f>
        <v>28</v>
      </c>
      <c r="K42">
        <f t="shared" si="3"/>
        <v>11.600000000000001</v>
      </c>
      <c r="M42" s="27">
        <f t="shared" si="8"/>
        <v>116</v>
      </c>
      <c r="N42" s="27">
        <f>E42*'Front page'!$B$20</f>
        <v>2.7</v>
      </c>
      <c r="O42" s="27">
        <f>F42*'Front page'!$B$21</f>
        <v>3.6</v>
      </c>
      <c r="P42">
        <f>G42*'Front page'!$B$18</f>
        <v>1.3</v>
      </c>
      <c r="Q42" s="27">
        <f>IF(settings!$B$4=0,Calculations!H42,Calculations!I42) *'Front page'!$B$11</f>
        <v>9</v>
      </c>
      <c r="R42" s="28">
        <f>ROUND(I42*'Front page'!$B$9,2)</f>
        <v>0</v>
      </c>
      <c r="S42" s="27">
        <f>J42*'Front page'!$B$14</f>
        <v>2.8000000000000003</v>
      </c>
      <c r="T42" s="81">
        <f>'Front page'!$B$16*Calculations!K42</f>
        <v>0.23200000000000004</v>
      </c>
      <c r="U42" s="81">
        <f>IF(settings!$B$13=0,(Calculations!M42*'Economic Adjustment'!O41)-Calculations!M42,0)</f>
        <v>0</v>
      </c>
      <c r="V42" s="154">
        <f>VLOOKUP(B42,'Remote School Building Weight'!$M$2:$P$174,3,FALSE)</f>
        <v>0</v>
      </c>
      <c r="W42" s="23">
        <f>'Small Dist Weight'!V41-Calculations!D42</f>
        <v>167.67927899686521</v>
      </c>
      <c r="X42" s="23">
        <f>IF(settings!$P$9=0,'Large District Weight'!H41*'Large District Weight'!G41,0)</f>
        <v>0</v>
      </c>
      <c r="Y42" s="23">
        <f t="shared" si="4"/>
        <v>303.31127899686521</v>
      </c>
      <c r="Z42" s="23">
        <f>IF(settings!$F$13=0,'Teacher Exp'!L42,0)</f>
        <v>0</v>
      </c>
      <c r="AA42" s="23">
        <f t="shared" si="5"/>
        <v>303.31127899686521</v>
      </c>
      <c r="AC42" s="24">
        <f>'Student Enrollment Data'!BU43</f>
        <v>0</v>
      </c>
      <c r="AD42" s="24">
        <f t="shared" si="6"/>
        <v>11.600000000000001</v>
      </c>
      <c r="AE42" s="24">
        <f>AD42*'Front page'!$B$16</f>
        <v>0.23200000000000004</v>
      </c>
      <c r="AG42" s="6">
        <f>M42*'Front page'!$E$3</f>
        <v>569527.13309158117</v>
      </c>
      <c r="AH42" s="6">
        <f>N42*'Front page'!$E$3</f>
        <v>13256.234994373011</v>
      </c>
      <c r="AI42" s="6">
        <f>O42*'Front page'!$E$3</f>
        <v>17674.979992497349</v>
      </c>
      <c r="AJ42" s="6">
        <f>P42*'Front page'!$E$3</f>
        <v>6382.6316639573752</v>
      </c>
      <c r="AK42" s="6">
        <f>Q42*'Front page'!$E$3</f>
        <v>44187.449981243364</v>
      </c>
      <c r="AL42" s="6">
        <f>S42*'Front page'!$E$3</f>
        <v>13747.206660831271</v>
      </c>
      <c r="AM42" s="5">
        <f>Z42*'Front page'!$E$3</f>
        <v>0</v>
      </c>
      <c r="AN42" s="6">
        <f>T42*'Front page'!$E$3</f>
        <v>1139.0542661831626</v>
      </c>
      <c r="AO42" s="6">
        <f>U42*'Front page'!$E$3</f>
        <v>0</v>
      </c>
      <c r="AP42" s="6">
        <f>W42*'Front page'!$E$3</f>
        <v>823257.75039610371</v>
      </c>
      <c r="AQ42" s="6">
        <f>V42*'Front page'!$E$3</f>
        <v>0</v>
      </c>
      <c r="AR42" s="6">
        <f>X42*'Front page'!$E$3</f>
        <v>0</v>
      </c>
      <c r="AS42" s="6">
        <f t="shared" si="7"/>
        <v>1489172.4410467704</v>
      </c>
      <c r="AT42" s="7">
        <f>IF(AS42&gt;'Funding Comparison'!D42*(1+'Front page'!$H$10),'Funding Comparison'!D42*(1+'Front page'!$H$10),AS42)</f>
        <v>1489172.4410467704</v>
      </c>
    </row>
    <row r="43" spans="1:46">
      <c r="A43" t="str">
        <f t="shared" si="0"/>
        <v>171</v>
      </c>
      <c r="B43">
        <f t="shared" si="2"/>
        <v>171</v>
      </c>
      <c r="C43" s="14" t="s">
        <v>51</v>
      </c>
      <c r="D43">
        <f>IF(settings!$G$4=0,'Student Enrollment Data'!AX44,'Student Enrollment Data'!CK44)</f>
        <v>987</v>
      </c>
      <c r="E43">
        <f>IF(settings!$G$4=0,'Student Enrollment Data'!AY44,'Student Enrollment Data'!CL44)</f>
        <v>256</v>
      </c>
      <c r="F43">
        <f>IF(settings!$G$4=0,'Student Enrollment Data'!AZ44,'Student Enrollment Data'!CM44)</f>
        <v>302</v>
      </c>
      <c r="G43" s="23">
        <f>'Student Enrollment Data'!BK44</f>
        <v>143</v>
      </c>
      <c r="H43">
        <f>'Student Enrollment Data'!BF44</f>
        <v>621</v>
      </c>
      <c r="I43">
        <f>SUM('Student Enrollment Data'!R44:X44,'Student Enrollment Data'!AQ44:AW44)</f>
        <v>119.11909677103124</v>
      </c>
      <c r="J43">
        <f>'Student Enrollment Data'!BS44</f>
        <v>79.659997242374786</v>
      </c>
      <c r="K43">
        <f t="shared" si="3"/>
        <v>98.7</v>
      </c>
      <c r="M43" s="27">
        <f t="shared" si="8"/>
        <v>987</v>
      </c>
      <c r="N43" s="27">
        <f>E43*'Front page'!$B$20</f>
        <v>25.6</v>
      </c>
      <c r="O43" s="27">
        <f>F43*'Front page'!$B$21</f>
        <v>30.200000000000003</v>
      </c>
      <c r="P43">
        <f>G43*'Front page'!$B$18</f>
        <v>14.3</v>
      </c>
      <c r="Q43" s="27">
        <f>IF(settings!$B$4=0,Calculations!H43,Calculations!I43) *'Front page'!$B$11</f>
        <v>62.1</v>
      </c>
      <c r="R43" s="28">
        <f>ROUND(I43*'Front page'!$B$9,2)</f>
        <v>0</v>
      </c>
      <c r="S43" s="27">
        <f>J43*'Front page'!$B$14</f>
        <v>7.9659997242374789</v>
      </c>
      <c r="T43" s="81">
        <f>'Front page'!$B$16*Calculations!K43</f>
        <v>1.9740000000000002</v>
      </c>
      <c r="U43" s="81">
        <f>IF(settings!$B$13=0,(Calculations!M43*'Economic Adjustment'!O42)-Calculations!M43,0)</f>
        <v>0</v>
      </c>
      <c r="V43" s="154">
        <f>VLOOKUP(B43,'Remote School Building Weight'!$M$2:$P$174,3,FALSE)</f>
        <v>153.19800783058582</v>
      </c>
      <c r="W43" s="23">
        <f>'Small Dist Weight'!V42-Calculations!D43</f>
        <v>113.31612068965524</v>
      </c>
      <c r="X43" s="23">
        <f>IF(settings!$P$9=0,'Large District Weight'!H42*'Large District Weight'!G42,0)</f>
        <v>0</v>
      </c>
      <c r="Y43" s="23">
        <f t="shared" si="4"/>
        <v>1395.6541282444782</v>
      </c>
      <c r="Z43" s="23">
        <f>IF(settings!$F$13=0,'Teacher Exp'!L43,0)</f>
        <v>0</v>
      </c>
      <c r="AA43" s="23">
        <f t="shared" si="5"/>
        <v>1395.6541282444782</v>
      </c>
      <c r="AC43" s="24">
        <f>'Student Enrollment Data'!BU44</f>
        <v>3</v>
      </c>
      <c r="AD43" s="24">
        <f t="shared" si="6"/>
        <v>98.7</v>
      </c>
      <c r="AE43" s="24">
        <f>AD43*'Front page'!$B$16</f>
        <v>1.9740000000000002</v>
      </c>
      <c r="AG43" s="6">
        <f>M43*'Front page'!$E$3</f>
        <v>4845890.3479430228</v>
      </c>
      <c r="AH43" s="6">
        <f>N43*'Front page'!$E$3</f>
        <v>125688.74661331448</v>
      </c>
      <c r="AI43" s="6">
        <f>O43*'Front page'!$E$3</f>
        <v>148273.44327039443</v>
      </c>
      <c r="AJ43" s="6">
        <f>P43*'Front page'!$E$3</f>
        <v>70208.948303531128</v>
      </c>
      <c r="AK43" s="6">
        <f>Q43*'Front page'!$E$3</f>
        <v>304893.40487057925</v>
      </c>
      <c r="AL43" s="6">
        <f>S43*'Front page'!$E$3</f>
        <v>39110.801596149118</v>
      </c>
      <c r="AM43" s="5">
        <f>Z43*'Front page'!$E$3</f>
        <v>0</v>
      </c>
      <c r="AN43" s="6">
        <f>T43*'Front page'!$E$3</f>
        <v>9691.7806958860456</v>
      </c>
      <c r="AO43" s="6">
        <f>U43*'Front page'!$E$3</f>
        <v>0</v>
      </c>
      <c r="AP43" s="6">
        <f>W43*'Front page'!$E$3</f>
        <v>556350.04611585301</v>
      </c>
      <c r="AQ43" s="6">
        <f>V43*'Front page'!$E$3</f>
        <v>752158.81202668231</v>
      </c>
      <c r="AR43" s="6">
        <f>X43*'Front page'!$E$3</f>
        <v>0</v>
      </c>
      <c r="AS43" s="6">
        <f t="shared" si="7"/>
        <v>6852266.3314354122</v>
      </c>
      <c r="AT43" s="7">
        <f>IF(AS43&gt;'Funding Comparison'!D43*(1+'Front page'!$H$10),'Funding Comparison'!D43*(1+'Front page'!$H$10),AS43)</f>
        <v>1532065.3005000001</v>
      </c>
    </row>
    <row r="44" spans="1:46">
      <c r="A44" t="str">
        <f t="shared" si="0"/>
        <v>181</v>
      </c>
      <c r="B44">
        <f t="shared" si="2"/>
        <v>181</v>
      </c>
      <c r="C44" s="14" t="s">
        <v>52</v>
      </c>
      <c r="D44">
        <f>IF(settings!$G$4=0,'Student Enrollment Data'!AX45,'Student Enrollment Data'!CK45)</f>
        <v>337.5</v>
      </c>
      <c r="E44">
        <f>IF(settings!$G$4=0,'Student Enrollment Data'!AY45,'Student Enrollment Data'!CL45)</f>
        <v>78.5</v>
      </c>
      <c r="F44">
        <f>IF(settings!$G$4=0,'Student Enrollment Data'!AZ45,'Student Enrollment Data'!CM45)</f>
        <v>114</v>
      </c>
      <c r="G44" s="23">
        <f>'Student Enrollment Data'!BK45</f>
        <v>39</v>
      </c>
      <c r="H44">
        <f>'Student Enrollment Data'!BF45</f>
        <v>136</v>
      </c>
      <c r="I44">
        <f>SUM('Student Enrollment Data'!R45:X45,'Student Enrollment Data'!AQ45:AW45)</f>
        <v>0</v>
      </c>
      <c r="J44">
        <f>'Student Enrollment Data'!BS45</f>
        <v>28.178107712001509</v>
      </c>
      <c r="K44">
        <f t="shared" si="3"/>
        <v>33.75</v>
      </c>
      <c r="M44" s="27">
        <f t="shared" si="8"/>
        <v>337.5</v>
      </c>
      <c r="N44" s="27">
        <f>E44*'Front page'!$B$20</f>
        <v>7.8500000000000005</v>
      </c>
      <c r="O44" s="27">
        <f>F44*'Front page'!$B$21</f>
        <v>11.4</v>
      </c>
      <c r="P44">
        <f>G44*'Front page'!$B$18</f>
        <v>3.9000000000000004</v>
      </c>
      <c r="Q44" s="27">
        <f>IF(settings!$B$4=0,Calculations!H44,Calculations!I44) *'Front page'!$B$11</f>
        <v>13.600000000000001</v>
      </c>
      <c r="R44" s="28">
        <f>ROUND(I44*'Front page'!$B$9,2)</f>
        <v>0</v>
      </c>
      <c r="S44" s="27">
        <f>J44*'Front page'!$B$14</f>
        <v>2.817810771200151</v>
      </c>
      <c r="T44" s="81">
        <f>'Front page'!$B$16*Calculations!K44</f>
        <v>0.67500000000000004</v>
      </c>
      <c r="U44" s="81">
        <f>IF(settings!$B$13=0,(Calculations!M44*'Economic Adjustment'!O43)-Calculations!M44,0)</f>
        <v>0</v>
      </c>
      <c r="V44" s="154">
        <f>VLOOKUP(B44,'Remote School Building Weight'!$M$2:$P$174,3,FALSE)</f>
        <v>11.260646766055558</v>
      </c>
      <c r="W44" s="23">
        <f>'Small Dist Weight'!V43-Calculations!D44</f>
        <v>172.90336010971782</v>
      </c>
      <c r="X44" s="23">
        <f>IF(settings!$P$9=0,'Large District Weight'!H43*'Large District Weight'!G43,0)</f>
        <v>0</v>
      </c>
      <c r="Y44" s="23">
        <f t="shared" si="4"/>
        <v>561.90681764697354</v>
      </c>
      <c r="Z44" s="23">
        <f>IF(settings!$F$13=0,'Teacher Exp'!L44,0)</f>
        <v>0</v>
      </c>
      <c r="AA44" s="23">
        <f t="shared" si="5"/>
        <v>561.90681764697354</v>
      </c>
      <c r="AC44" s="24">
        <f>'Student Enrollment Data'!BU45</f>
        <v>28</v>
      </c>
      <c r="AD44" s="24">
        <f t="shared" si="6"/>
        <v>33.75</v>
      </c>
      <c r="AE44" s="24">
        <f>AD44*'Front page'!$B$16</f>
        <v>0.67500000000000004</v>
      </c>
      <c r="AG44" s="6">
        <f>M44*'Front page'!$E$3</f>
        <v>1657029.3742966263</v>
      </c>
      <c r="AH44" s="6">
        <f>N44*'Front page'!$E$3</f>
        <v>38541.275816973386</v>
      </c>
      <c r="AI44" s="6">
        <f>O44*'Front page'!$E$3</f>
        <v>55970.769976241601</v>
      </c>
      <c r="AJ44" s="6">
        <f>P44*'Front page'!$E$3</f>
        <v>19147.894991872126</v>
      </c>
      <c r="AK44" s="6">
        <f>Q44*'Front page'!$E$3</f>
        <v>66772.14663832332</v>
      </c>
      <c r="AL44" s="6">
        <f>S44*'Front page'!$E$3</f>
        <v>13834.652501001719</v>
      </c>
      <c r="AM44" s="5">
        <f>Z44*'Front page'!$E$3</f>
        <v>0</v>
      </c>
      <c r="AN44" s="6">
        <f>T44*'Front page'!$E$3</f>
        <v>3314.0587485932529</v>
      </c>
      <c r="AO44" s="6">
        <f>U44*'Front page'!$E$3</f>
        <v>0</v>
      </c>
      <c r="AP44" s="6">
        <f>W44*'Front page'!$E$3</f>
        <v>848906.50849300739</v>
      </c>
      <c r="AQ44" s="6">
        <f>V44*'Front page'!$E$3</f>
        <v>55286.585081281097</v>
      </c>
      <c r="AR44" s="6">
        <f>X44*'Front page'!$E$3</f>
        <v>0</v>
      </c>
      <c r="AS44" s="6">
        <f t="shared" si="7"/>
        <v>2758803.2665439202</v>
      </c>
      <c r="AT44" s="7">
        <f>IF(AS44&gt;'Funding Comparison'!D44*(1+'Front page'!$H$10),'Funding Comparison'!D44*(1+'Front page'!$H$10),AS44)</f>
        <v>1561875.399</v>
      </c>
    </row>
    <row r="45" spans="1:46">
      <c r="A45" t="str">
        <f t="shared" si="0"/>
        <v>182</v>
      </c>
      <c r="B45">
        <f t="shared" si="2"/>
        <v>182</v>
      </c>
      <c r="C45" s="14" t="s">
        <v>53</v>
      </c>
      <c r="D45">
        <f>IF(settings!$G$4=0,'Student Enrollment Data'!AX46,'Student Enrollment Data'!CK46)</f>
        <v>211</v>
      </c>
      <c r="E45">
        <f>IF(settings!$G$4=0,'Student Enrollment Data'!AY46,'Student Enrollment Data'!CL46)</f>
        <v>56</v>
      </c>
      <c r="F45">
        <f>IF(settings!$G$4=0,'Student Enrollment Data'!AZ46,'Student Enrollment Data'!CM46)</f>
        <v>61</v>
      </c>
      <c r="G45" s="23">
        <f>'Student Enrollment Data'!BK46</f>
        <v>15</v>
      </c>
      <c r="H45">
        <f>'Student Enrollment Data'!BF46</f>
        <v>70</v>
      </c>
      <c r="I45">
        <f>SUM('Student Enrollment Data'!R46:X46,'Student Enrollment Data'!AQ46:AW46)</f>
        <v>0</v>
      </c>
      <c r="J45">
        <f>'Student Enrollment Data'!BS46</f>
        <v>17.106309586259602</v>
      </c>
      <c r="K45">
        <f t="shared" si="3"/>
        <v>21.1</v>
      </c>
      <c r="M45" s="27">
        <f t="shared" si="8"/>
        <v>211</v>
      </c>
      <c r="N45" s="27">
        <f>E45*'Front page'!$B$20</f>
        <v>5.6000000000000005</v>
      </c>
      <c r="O45" s="27">
        <f>F45*'Front page'!$B$21</f>
        <v>6.1000000000000005</v>
      </c>
      <c r="P45">
        <f>G45*'Front page'!$B$18</f>
        <v>1.5</v>
      </c>
      <c r="Q45" s="27">
        <f>IF(settings!$B$4=0,Calculations!H45,Calculations!I45) *'Front page'!$B$11</f>
        <v>7</v>
      </c>
      <c r="R45" s="28">
        <f>ROUND(I45*'Front page'!$B$9,2)</f>
        <v>0</v>
      </c>
      <c r="S45" s="27">
        <f>J45*'Front page'!$B$14</f>
        <v>1.7106309586259603</v>
      </c>
      <c r="T45" s="81">
        <f>'Front page'!$B$16*Calculations!K45</f>
        <v>0.42200000000000004</v>
      </c>
      <c r="U45" s="81">
        <f>IF(settings!$B$13=0,(Calculations!M45*'Economic Adjustment'!O44)-Calculations!M45,0)</f>
        <v>0</v>
      </c>
      <c r="V45" s="154">
        <f>VLOOKUP(B45,'Remote School Building Weight'!$M$2:$P$174,3,FALSE)</f>
        <v>0</v>
      </c>
      <c r="W45" s="23">
        <f>'Small Dist Weight'!V44-Calculations!D45</f>
        <v>148.52723354231978</v>
      </c>
      <c r="X45" s="23">
        <f>IF(settings!$P$9=0,'Large District Weight'!H44*'Large District Weight'!G44,0)</f>
        <v>0</v>
      </c>
      <c r="Y45" s="23">
        <f t="shared" si="4"/>
        <v>381.85986450094572</v>
      </c>
      <c r="Z45" s="23">
        <f>IF(settings!$F$13=0,'Teacher Exp'!L45,0)</f>
        <v>0</v>
      </c>
      <c r="AA45" s="23">
        <f t="shared" si="5"/>
        <v>381.85986450094572</v>
      </c>
      <c r="AC45" s="24">
        <f>'Student Enrollment Data'!BU46</f>
        <v>0</v>
      </c>
      <c r="AD45" s="24">
        <f t="shared" si="6"/>
        <v>21.1</v>
      </c>
      <c r="AE45" s="24">
        <f>AD45*'Front page'!$B$16</f>
        <v>0.42200000000000004</v>
      </c>
      <c r="AG45" s="6">
        <f>M45*'Front page'!$E$3</f>
        <v>1035950.2162269278</v>
      </c>
      <c r="AH45" s="6">
        <f>N45*'Front page'!$E$3</f>
        <v>27494.413321662541</v>
      </c>
      <c r="AI45" s="6">
        <f>O45*'Front page'!$E$3</f>
        <v>29949.271653953841</v>
      </c>
      <c r="AJ45" s="6">
        <f>P45*'Front page'!$E$3</f>
        <v>7364.5749968738946</v>
      </c>
      <c r="AK45" s="6">
        <f>Q45*'Front page'!$E$3</f>
        <v>34368.016652078179</v>
      </c>
      <c r="AL45" s="6">
        <f>S45*'Front page'!$E$3</f>
        <v>8398.7133245167788</v>
      </c>
      <c r="AM45" s="5">
        <f>Z45*'Front page'!$E$3</f>
        <v>0</v>
      </c>
      <c r="AN45" s="6">
        <f>T45*'Front page'!$E$3</f>
        <v>2071.900432453856</v>
      </c>
      <c r="AO45" s="6">
        <f>U45*'Front page'!$E$3</f>
        <v>0</v>
      </c>
      <c r="AP45" s="6">
        <f>W45*'Front page'!$E$3</f>
        <v>729226.63366707857</v>
      </c>
      <c r="AQ45" s="6">
        <f>V45*'Front page'!$E$3</f>
        <v>0</v>
      </c>
      <c r="AR45" s="6">
        <f>X45*'Front page'!$E$3</f>
        <v>0</v>
      </c>
      <c r="AS45" s="6">
        <f t="shared" si="7"/>
        <v>1874823.7402755457</v>
      </c>
      <c r="AT45" s="7">
        <f>IF(AS45&gt;'Funding Comparison'!D45*(1+'Front page'!$H$10),'Funding Comparison'!D45*(1+'Front page'!$H$10),AS45)</f>
        <v>1588905.0765</v>
      </c>
    </row>
    <row r="46" spans="1:46">
      <c r="A46" t="str">
        <f t="shared" si="0"/>
        <v>191</v>
      </c>
      <c r="B46">
        <f t="shared" si="2"/>
        <v>191</v>
      </c>
      <c r="C46" s="14" t="s">
        <v>54</v>
      </c>
      <c r="D46">
        <f>IF(settings!$G$4=0,'Student Enrollment Data'!AX47,'Student Enrollment Data'!CK47)</f>
        <v>2</v>
      </c>
      <c r="E46">
        <f>IF(settings!$G$4=0,'Student Enrollment Data'!AY47,'Student Enrollment Data'!CL47)</f>
        <v>1</v>
      </c>
      <c r="F46">
        <f>IF(settings!$G$4=0,'Student Enrollment Data'!AZ47,'Student Enrollment Data'!CM47)</f>
        <v>0</v>
      </c>
      <c r="G46" s="23">
        <f>'Student Enrollment Data'!BK47</f>
        <v>0.46338134621106397</v>
      </c>
      <c r="H46">
        <f>'Student Enrollment Data'!BF47</f>
        <v>0.86</v>
      </c>
      <c r="I46">
        <f>SUM('Student Enrollment Data'!R47:X47,'Student Enrollment Data'!AQ47:AW47)</f>
        <v>0</v>
      </c>
      <c r="J46">
        <f>'Student Enrollment Data'!BS47</f>
        <v>0</v>
      </c>
      <c r="K46">
        <f t="shared" si="3"/>
        <v>3</v>
      </c>
      <c r="M46" s="27">
        <f t="shared" si="8"/>
        <v>30</v>
      </c>
      <c r="N46" s="27">
        <f>E46*'Front page'!$B$20</f>
        <v>0.1</v>
      </c>
      <c r="O46" s="27">
        <f>F46*'Front page'!$B$21</f>
        <v>0</v>
      </c>
      <c r="P46">
        <f>G46*'Front page'!$B$18</f>
        <v>4.6338134621106399E-2</v>
      </c>
      <c r="Q46" s="27">
        <f>IF(settings!$B$4=0,Calculations!H46,Calculations!I46) *'Front page'!$B$11</f>
        <v>8.6000000000000007E-2</v>
      </c>
      <c r="R46" s="28">
        <f>ROUND(I46*'Front page'!$B$9,2)</f>
        <v>0</v>
      </c>
      <c r="S46" s="27">
        <f>J46*'Front page'!$B$14</f>
        <v>0</v>
      </c>
      <c r="T46" s="81">
        <f>'Front page'!$B$16*Calculations!K46</f>
        <v>0.06</v>
      </c>
      <c r="U46" s="81">
        <f>IF(settings!$B$13=0,(Calculations!M46*'Economic Adjustment'!O45)-Calculations!M46,0)</f>
        <v>0</v>
      </c>
      <c r="V46" s="154">
        <f>VLOOKUP(B46,'Remote School Building Weight'!$M$2:$P$174,3,FALSE)</f>
        <v>0</v>
      </c>
      <c r="W46" s="23">
        <f>'Small Dist Weight'!V45-Calculations!D46</f>
        <v>2.0999999999999996</v>
      </c>
      <c r="X46" s="23">
        <f>IF(settings!$P$9=0,'Large District Weight'!H45*'Large District Weight'!G45,0)</f>
        <v>0</v>
      </c>
      <c r="Y46" s="23">
        <f t="shared" si="4"/>
        <v>32.392338134621106</v>
      </c>
      <c r="Z46" s="23">
        <f>IF(settings!$F$13=0,'Teacher Exp'!L46,0)</f>
        <v>0</v>
      </c>
      <c r="AA46" s="23">
        <f t="shared" si="5"/>
        <v>32.392338134621106</v>
      </c>
      <c r="AC46" s="24">
        <f>'Student Enrollment Data'!BU47</f>
        <v>0</v>
      </c>
      <c r="AD46" s="24">
        <f t="shared" si="6"/>
        <v>3</v>
      </c>
      <c r="AE46" s="24">
        <f>AD46*'Front page'!$B$16</f>
        <v>0.06</v>
      </c>
      <c r="AG46" s="6">
        <f>M46*'Front page'!$E$3</f>
        <v>147291.4999374779</v>
      </c>
      <c r="AH46" s="6">
        <f>N46*'Front page'!$E$3</f>
        <v>490.97166645825968</v>
      </c>
      <c r="AI46" s="6">
        <f>O46*'Front page'!$E$3</f>
        <v>0</v>
      </c>
      <c r="AJ46" s="6">
        <f>P46*'Front page'!$E$3</f>
        <v>227.50711175491784</v>
      </c>
      <c r="AK46" s="6">
        <f>Q46*'Front page'!$E$3</f>
        <v>422.23563315410331</v>
      </c>
      <c r="AL46" s="6">
        <f>S46*'Front page'!$E$3</f>
        <v>0</v>
      </c>
      <c r="AM46" s="5">
        <f>Z46*'Front page'!$E$3</f>
        <v>0</v>
      </c>
      <c r="AN46" s="6">
        <f>T46*'Front page'!$E$3</f>
        <v>294.58299987495576</v>
      </c>
      <c r="AO46" s="6">
        <f>U46*'Front page'!$E$3</f>
        <v>0</v>
      </c>
      <c r="AP46" s="6">
        <f>W46*'Front page'!$E$3</f>
        <v>10310.40499562345</v>
      </c>
      <c r="AQ46" s="6">
        <f>V46*'Front page'!$E$3</f>
        <v>0</v>
      </c>
      <c r="AR46" s="6">
        <f>X46*'Front page'!$E$3</f>
        <v>0</v>
      </c>
      <c r="AS46" s="6">
        <f t="shared" si="7"/>
        <v>159037.20234434359</v>
      </c>
      <c r="AT46" s="7">
        <f>IF(AS46&gt;'Funding Comparison'!D46*(1+'Front page'!$H$10),'Funding Comparison'!D46*(1+'Front page'!$H$10),AS46)</f>
        <v>159037.20234434359</v>
      </c>
    </row>
    <row r="47" spans="1:46">
      <c r="A47" t="str">
        <f t="shared" si="0"/>
        <v>192</v>
      </c>
      <c r="B47">
        <f t="shared" si="2"/>
        <v>192</v>
      </c>
      <c r="C47" s="14" t="s">
        <v>55</v>
      </c>
      <c r="D47">
        <f>IF(settings!$G$4=0,'Student Enrollment Data'!AX48,'Student Enrollment Data'!CK48)</f>
        <v>383.5</v>
      </c>
      <c r="E47">
        <f>IF(settings!$G$4=0,'Student Enrollment Data'!AY48,'Student Enrollment Data'!CL48)</f>
        <v>92.5</v>
      </c>
      <c r="F47">
        <f>IF(settings!$G$4=0,'Student Enrollment Data'!AZ48,'Student Enrollment Data'!CM48)</f>
        <v>123</v>
      </c>
      <c r="G47" s="23">
        <f>'Student Enrollment Data'!BK48</f>
        <v>68</v>
      </c>
      <c r="H47">
        <f>'Student Enrollment Data'!BF48</f>
        <v>257</v>
      </c>
      <c r="I47">
        <f>SUM('Student Enrollment Data'!R48:X48,'Student Enrollment Data'!AQ48:AW48)</f>
        <v>0</v>
      </c>
      <c r="J47">
        <f>'Student Enrollment Data'!BS48</f>
        <v>79</v>
      </c>
      <c r="K47">
        <f t="shared" si="3"/>
        <v>38.35</v>
      </c>
      <c r="M47" s="27">
        <f t="shared" si="8"/>
        <v>383.5</v>
      </c>
      <c r="N47" s="27">
        <f>E47*'Front page'!$B$20</f>
        <v>9.25</v>
      </c>
      <c r="O47" s="27">
        <f>F47*'Front page'!$B$21</f>
        <v>12.3</v>
      </c>
      <c r="P47">
        <f>G47*'Front page'!$B$18</f>
        <v>6.8000000000000007</v>
      </c>
      <c r="Q47" s="27">
        <f>IF(settings!$B$4=0,Calculations!H47,Calculations!I47) *'Front page'!$B$11</f>
        <v>25.700000000000003</v>
      </c>
      <c r="R47" s="28">
        <f>ROUND(I47*'Front page'!$B$9,2)</f>
        <v>0</v>
      </c>
      <c r="S47" s="27">
        <f>J47*'Front page'!$B$14</f>
        <v>7.9</v>
      </c>
      <c r="T47" s="81">
        <f>'Front page'!$B$16*Calculations!K47</f>
        <v>0.76700000000000002</v>
      </c>
      <c r="U47" s="81">
        <f>IF(settings!$B$13=0,(Calculations!M47*'Economic Adjustment'!O46)-Calculations!M47,0)</f>
        <v>0</v>
      </c>
      <c r="V47" s="154">
        <f>VLOOKUP(B47,'Remote School Building Weight'!$M$2:$P$174,3,FALSE)</f>
        <v>0</v>
      </c>
      <c r="W47" s="23">
        <f>'Small Dist Weight'!V46-Calculations!D47</f>
        <v>173.32788597178683</v>
      </c>
      <c r="X47" s="23">
        <f>IF(settings!$P$9=0,'Large District Weight'!H46*'Large District Weight'!G46,0)</f>
        <v>0</v>
      </c>
      <c r="Y47" s="23">
        <f t="shared" si="4"/>
        <v>619.54488597178681</v>
      </c>
      <c r="Z47" s="23">
        <f>IF(settings!$F$13=0,'Teacher Exp'!L47,0)</f>
        <v>0</v>
      </c>
      <c r="AA47" s="23">
        <f t="shared" si="5"/>
        <v>619.54488597178681</v>
      </c>
      <c r="AC47" s="24">
        <f>'Student Enrollment Data'!BU48</f>
        <v>3</v>
      </c>
      <c r="AD47" s="24">
        <f t="shared" si="6"/>
        <v>38.35</v>
      </c>
      <c r="AE47" s="24">
        <f>AD47*'Front page'!$B$16</f>
        <v>0.76700000000000002</v>
      </c>
      <c r="AG47" s="6">
        <f>M47*'Front page'!$E$3</f>
        <v>1882876.3408674258</v>
      </c>
      <c r="AH47" s="6">
        <f>N47*'Front page'!$E$3</f>
        <v>45414.879147389016</v>
      </c>
      <c r="AI47" s="6">
        <f>O47*'Front page'!$E$3</f>
        <v>60389.514974365942</v>
      </c>
      <c r="AJ47" s="6">
        <f>P47*'Front page'!$E$3</f>
        <v>33386.07331916166</v>
      </c>
      <c r="AK47" s="6">
        <f>Q47*'Front page'!$E$3</f>
        <v>126179.71827977274</v>
      </c>
      <c r="AL47" s="6">
        <f>S47*'Front page'!$E$3</f>
        <v>38786.761650202512</v>
      </c>
      <c r="AM47" s="5">
        <f>Z47*'Front page'!$E$3</f>
        <v>0</v>
      </c>
      <c r="AN47" s="6">
        <f>T47*'Front page'!$E$3</f>
        <v>3765.7526817348516</v>
      </c>
      <c r="AO47" s="6">
        <f>U47*'Front page'!$E$3</f>
        <v>0</v>
      </c>
      <c r="AP47" s="6">
        <f>W47*'Front page'!$E$3</f>
        <v>850990.81019255379</v>
      </c>
      <c r="AQ47" s="6">
        <f>V47*'Front page'!$E$3</f>
        <v>0</v>
      </c>
      <c r="AR47" s="6">
        <f>X47*'Front page'!$E$3</f>
        <v>0</v>
      </c>
      <c r="AS47" s="6">
        <f t="shared" si="7"/>
        <v>3041789.8511126065</v>
      </c>
      <c r="AT47" s="7">
        <f>IF(AS47&gt;'Funding Comparison'!D47*(1+'Front page'!$H$10),'Funding Comparison'!D47*(1+'Front page'!$H$10),AS47)</f>
        <v>2405557.0664999997</v>
      </c>
    </row>
    <row r="48" spans="1:46">
      <c r="A48" t="str">
        <f t="shared" si="0"/>
        <v>193</v>
      </c>
      <c r="B48">
        <f t="shared" si="2"/>
        <v>193</v>
      </c>
      <c r="C48" s="14" t="s">
        <v>56</v>
      </c>
      <c r="D48">
        <f>IF(settings!$G$4=0,'Student Enrollment Data'!AX49,'Student Enrollment Data'!CK49)</f>
        <v>3742.3647058823531</v>
      </c>
      <c r="E48">
        <f>IF(settings!$G$4=0,'Student Enrollment Data'!AY49,'Student Enrollment Data'!CL49)</f>
        <v>1094.5</v>
      </c>
      <c r="F48">
        <f>IF(settings!$G$4=0,'Student Enrollment Data'!AZ49,'Student Enrollment Data'!CM49)</f>
        <v>1071.4058823529413</v>
      </c>
      <c r="G48" s="23">
        <f>'Student Enrollment Data'!BK49</f>
        <v>447</v>
      </c>
      <c r="H48">
        <f>'Student Enrollment Data'!BF49</f>
        <v>1740</v>
      </c>
      <c r="I48">
        <f>SUM('Student Enrollment Data'!R49:X49,'Student Enrollment Data'!AQ49:AW49)</f>
        <v>101.44790821394399</v>
      </c>
      <c r="J48">
        <f>'Student Enrollment Data'!BS49</f>
        <v>280</v>
      </c>
      <c r="K48">
        <f t="shared" si="3"/>
        <v>374.23647058823531</v>
      </c>
      <c r="M48" s="27">
        <f t="shared" si="8"/>
        <v>3742.3647058823531</v>
      </c>
      <c r="N48" s="27">
        <f>E48*'Front page'!$B$20</f>
        <v>109.45</v>
      </c>
      <c r="O48" s="27">
        <f>F48*'Front page'!$B$21</f>
        <v>107.14058823529413</v>
      </c>
      <c r="P48">
        <f>G48*'Front page'!$B$18</f>
        <v>44.7</v>
      </c>
      <c r="Q48" s="27">
        <f>IF(settings!$B$4=0,Calculations!H48,Calculations!I48) *'Front page'!$B$11</f>
        <v>174</v>
      </c>
      <c r="R48" s="28">
        <f>ROUND(I48*'Front page'!$B$9,2)</f>
        <v>0</v>
      </c>
      <c r="S48" s="27">
        <f>J48*'Front page'!$B$14</f>
        <v>28</v>
      </c>
      <c r="T48" s="81">
        <f>'Front page'!$B$16*Calculations!K48</f>
        <v>7.4847294117647065</v>
      </c>
      <c r="U48" s="81">
        <f>IF(settings!$B$13=0,(Calculations!M48*'Economic Adjustment'!O47)-Calculations!M48,0)</f>
        <v>0</v>
      </c>
      <c r="V48" s="154">
        <f>VLOOKUP(B48,'Remote School Building Weight'!$M$2:$P$174,3,FALSE)</f>
        <v>3.6463822487689912</v>
      </c>
      <c r="W48" s="23">
        <f>'Small Dist Weight'!V47-Calculations!D48</f>
        <v>0</v>
      </c>
      <c r="X48" s="23">
        <f>IF(settings!$P$9=0,'Large District Weight'!H47*'Large District Weight'!G47,0)</f>
        <v>0</v>
      </c>
      <c r="Y48" s="23">
        <f t="shared" si="4"/>
        <v>4216.7864057781808</v>
      </c>
      <c r="Z48" s="23">
        <f>IF(settings!$F$13=0,'Teacher Exp'!L48,0)</f>
        <v>0</v>
      </c>
      <c r="AA48" s="23">
        <f t="shared" si="5"/>
        <v>4216.7864057781808</v>
      </c>
      <c r="AC48" s="24">
        <f>'Student Enrollment Data'!BU49</f>
        <v>42</v>
      </c>
      <c r="AD48" s="24">
        <f t="shared" si="6"/>
        <v>374.23647058823531</v>
      </c>
      <c r="AE48" s="24">
        <f>AD48*'Front page'!$B$16</f>
        <v>7.4847294117647065</v>
      </c>
      <c r="AG48" s="6">
        <f>M48*'Front page'!$E$3</f>
        <v>18373950.361416336</v>
      </c>
      <c r="AH48" s="6">
        <f>N48*'Front page'!$E$3</f>
        <v>537368.48893856525</v>
      </c>
      <c r="AI48" s="6">
        <f>O48*'Front page'!$E$3</f>
        <v>526029.93151200563</v>
      </c>
      <c r="AJ48" s="6">
        <f>P48*'Front page'!$E$3</f>
        <v>219464.33490684206</v>
      </c>
      <c r="AK48" s="6">
        <f>Q48*'Front page'!$E$3</f>
        <v>854290.69963737181</v>
      </c>
      <c r="AL48" s="6">
        <f>S48*'Front page'!$E$3</f>
        <v>137472.06660831271</v>
      </c>
      <c r="AM48" s="5">
        <f>Z48*'Front page'!$E$3</f>
        <v>0</v>
      </c>
      <c r="AN48" s="6">
        <f>T48*'Front page'!$E$3</f>
        <v>36747.900722832674</v>
      </c>
      <c r="AO48" s="6">
        <f>U48*'Front page'!$E$3</f>
        <v>0</v>
      </c>
      <c r="AP48" s="6">
        <f>W48*'Front page'!$E$3</f>
        <v>0</v>
      </c>
      <c r="AQ48" s="6">
        <f>V48*'Front page'!$E$3</f>
        <v>17902.703692219278</v>
      </c>
      <c r="AR48" s="6">
        <f>X48*'Front page'!$E$3</f>
        <v>0</v>
      </c>
      <c r="AS48" s="6">
        <f t="shared" si="7"/>
        <v>20703226.487434488</v>
      </c>
      <c r="AT48" s="7">
        <f>IF(AS48&gt;'Funding Comparison'!D48*(1+'Front page'!$H$10),'Funding Comparison'!D48*(1+'Front page'!$H$10),AS48)</f>
        <v>1650911.4615000002</v>
      </c>
    </row>
    <row r="49" spans="1:46">
      <c r="A49" t="str">
        <f t="shared" si="0"/>
        <v>201</v>
      </c>
      <c r="B49">
        <f t="shared" si="2"/>
        <v>201</v>
      </c>
      <c r="C49" s="14" t="s">
        <v>57</v>
      </c>
      <c r="D49">
        <f>IF(settings!$G$4=0,'Student Enrollment Data'!AX50,'Student Enrollment Data'!CK50)</f>
        <v>2255.1142156862743</v>
      </c>
      <c r="E49">
        <f>IF(settings!$G$4=0,'Student Enrollment Data'!AY50,'Student Enrollment Data'!CL50)</f>
        <v>563</v>
      </c>
      <c r="F49">
        <f>IF(settings!$G$4=0,'Student Enrollment Data'!AZ50,'Student Enrollment Data'!CM50)</f>
        <v>740.82500000000005</v>
      </c>
      <c r="G49" s="23">
        <f>'Student Enrollment Data'!BK50</f>
        <v>263</v>
      </c>
      <c r="H49">
        <f>'Student Enrollment Data'!BF50</f>
        <v>935</v>
      </c>
      <c r="I49">
        <f>SUM('Student Enrollment Data'!R50:X50,'Student Enrollment Data'!AQ50:AW50)</f>
        <v>86.343343493265522</v>
      </c>
      <c r="J49">
        <f>'Student Enrollment Data'!BS50</f>
        <v>90</v>
      </c>
      <c r="K49">
        <f t="shared" si="3"/>
        <v>225.51142156862744</v>
      </c>
      <c r="M49" s="27">
        <f t="shared" si="8"/>
        <v>2255.1142156862743</v>
      </c>
      <c r="N49" s="27">
        <f>E49*'Front page'!$B$20</f>
        <v>56.300000000000004</v>
      </c>
      <c r="O49" s="27">
        <f>F49*'Front page'!$B$21</f>
        <v>74.08250000000001</v>
      </c>
      <c r="P49">
        <f>G49*'Front page'!$B$18</f>
        <v>26.3</v>
      </c>
      <c r="Q49" s="27">
        <f>IF(settings!$B$4=0,Calculations!H49,Calculations!I49) *'Front page'!$B$11</f>
        <v>93.5</v>
      </c>
      <c r="R49" s="28">
        <f>ROUND(I49*'Front page'!$B$9,2)</f>
        <v>0</v>
      </c>
      <c r="S49" s="27">
        <f>J49*'Front page'!$B$14</f>
        <v>9</v>
      </c>
      <c r="T49" s="81">
        <f>'Front page'!$B$16*Calculations!K49</f>
        <v>4.5102284313725489</v>
      </c>
      <c r="U49" s="81">
        <f>IF(settings!$B$13=0,(Calculations!M49*'Economic Adjustment'!O48)-Calculations!M49,0)</f>
        <v>0</v>
      </c>
      <c r="V49" s="154">
        <f>VLOOKUP(B49,'Remote School Building Weight'!$M$2:$P$174,3,FALSE)</f>
        <v>0</v>
      </c>
      <c r="W49" s="23">
        <f>'Small Dist Weight'!V48-Calculations!D49</f>
        <v>0</v>
      </c>
      <c r="X49" s="23">
        <f>IF(settings!$P$9=0,'Large District Weight'!H48*'Large District Weight'!G48,0)</f>
        <v>0</v>
      </c>
      <c r="Y49" s="23">
        <f t="shared" si="4"/>
        <v>2518.8069441176472</v>
      </c>
      <c r="Z49" s="23">
        <f>IF(settings!$F$13=0,'Teacher Exp'!L49,0)</f>
        <v>0</v>
      </c>
      <c r="AA49" s="23">
        <f t="shared" si="5"/>
        <v>2518.8069441176472</v>
      </c>
      <c r="AC49" s="24">
        <f>'Student Enrollment Data'!BU50</f>
        <v>183</v>
      </c>
      <c r="AD49" s="24">
        <f t="shared" si="6"/>
        <v>225.51142156862744</v>
      </c>
      <c r="AE49" s="24">
        <f>AD49*'Front page'!$B$16</f>
        <v>4.5102284313725489</v>
      </c>
      <c r="AG49" s="6">
        <f>M49*'Front page'!$E$3</f>
        <v>11071971.845292013</v>
      </c>
      <c r="AH49" s="6">
        <f>N49*'Front page'!$E$3</f>
        <v>276417.0482160002</v>
      </c>
      <c r="AI49" s="6">
        <f>O49*'Front page'!$E$3</f>
        <v>363724.08480394026</v>
      </c>
      <c r="AJ49" s="6">
        <f>P49*'Front page'!$E$3</f>
        <v>129125.54827852228</v>
      </c>
      <c r="AK49" s="6">
        <f>Q49*'Front page'!$E$3</f>
        <v>459058.50813847274</v>
      </c>
      <c r="AL49" s="6">
        <f>S49*'Front page'!$E$3</f>
        <v>44187.449981243364</v>
      </c>
      <c r="AM49" s="5">
        <f>Z49*'Front page'!$E$3</f>
        <v>0</v>
      </c>
      <c r="AN49" s="6">
        <f>T49*'Front page'!$E$3</f>
        <v>22143.943690584027</v>
      </c>
      <c r="AO49" s="6">
        <f>U49*'Front page'!$E$3</f>
        <v>0</v>
      </c>
      <c r="AP49" s="6">
        <f>W49*'Front page'!$E$3</f>
        <v>0</v>
      </c>
      <c r="AQ49" s="6">
        <f>V49*'Front page'!$E$3</f>
        <v>0</v>
      </c>
      <c r="AR49" s="6">
        <f>X49*'Front page'!$E$3</f>
        <v>0</v>
      </c>
      <c r="AS49" s="6">
        <f t="shared" si="7"/>
        <v>12366628.428400775</v>
      </c>
      <c r="AT49" s="7">
        <f>IF(AS49&gt;'Funding Comparison'!D49*(1+'Front page'!$H$10),'Funding Comparison'!D49*(1+'Front page'!$H$10),AS49)</f>
        <v>1700537.202</v>
      </c>
    </row>
    <row r="50" spans="1:46">
      <c r="A50" t="str">
        <f t="shared" si="0"/>
        <v>202</v>
      </c>
      <c r="B50">
        <f t="shared" si="2"/>
        <v>202</v>
      </c>
      <c r="C50" s="14" t="s">
        <v>58</v>
      </c>
      <c r="D50">
        <f>IF(settings!$G$4=0,'Student Enrollment Data'!AX51,'Student Enrollment Data'!CK51)</f>
        <v>721</v>
      </c>
      <c r="E50">
        <f>IF(settings!$G$4=0,'Student Enrollment Data'!AY51,'Student Enrollment Data'!CL51)</f>
        <v>212</v>
      </c>
      <c r="F50">
        <f>IF(settings!$G$4=0,'Student Enrollment Data'!AZ51,'Student Enrollment Data'!CM51)</f>
        <v>181</v>
      </c>
      <c r="G50" s="23">
        <f>'Student Enrollment Data'!BK51</f>
        <v>45</v>
      </c>
      <c r="H50">
        <f>'Student Enrollment Data'!BF51</f>
        <v>351</v>
      </c>
      <c r="I50">
        <f>SUM('Student Enrollment Data'!R51:X51,'Student Enrollment Data'!AQ51:AW51)</f>
        <v>0</v>
      </c>
      <c r="J50">
        <f>'Student Enrollment Data'!BS51</f>
        <v>56.898377678286963</v>
      </c>
      <c r="K50">
        <f t="shared" si="3"/>
        <v>72.100000000000009</v>
      </c>
      <c r="M50" s="27">
        <f t="shared" si="8"/>
        <v>721</v>
      </c>
      <c r="N50" s="27">
        <f>E50*'Front page'!$B$20</f>
        <v>21.200000000000003</v>
      </c>
      <c r="O50" s="27">
        <f>F50*'Front page'!$B$21</f>
        <v>18.100000000000001</v>
      </c>
      <c r="P50">
        <f>G50*'Front page'!$B$18</f>
        <v>4.5</v>
      </c>
      <c r="Q50" s="27">
        <f>IF(settings!$B$4=0,Calculations!H50,Calculations!I50) *'Front page'!$B$11</f>
        <v>35.1</v>
      </c>
      <c r="R50" s="28">
        <f>ROUND(I50*'Front page'!$B$9,2)</f>
        <v>0</v>
      </c>
      <c r="S50" s="27">
        <f>J50*'Front page'!$B$14</f>
        <v>5.6898377678286964</v>
      </c>
      <c r="T50" s="81">
        <f>'Front page'!$B$16*Calculations!K50</f>
        <v>1.4420000000000002</v>
      </c>
      <c r="U50" s="81">
        <f>IF(settings!$B$13=0,(Calculations!M50*'Economic Adjustment'!O49)-Calculations!M50,0)</f>
        <v>0</v>
      </c>
      <c r="V50" s="154">
        <f>VLOOKUP(B50,'Remote School Building Weight'!$M$2:$P$174,3,FALSE)</f>
        <v>0</v>
      </c>
      <c r="W50" s="23">
        <f>'Small Dist Weight'!V49-Calculations!D50</f>
        <v>150.51025862068968</v>
      </c>
      <c r="X50" s="23">
        <f>IF(settings!$P$9=0,'Large District Weight'!H49*'Large District Weight'!G49,0)</f>
        <v>0</v>
      </c>
      <c r="Y50" s="23">
        <f t="shared" si="4"/>
        <v>957.54209638851853</v>
      </c>
      <c r="Z50" s="23">
        <f>IF(settings!$F$13=0,'Teacher Exp'!L50,0)</f>
        <v>0</v>
      </c>
      <c r="AA50" s="23">
        <f t="shared" si="5"/>
        <v>957.54209638851853</v>
      </c>
      <c r="AC50" s="24">
        <f>'Student Enrollment Data'!BU51</f>
        <v>78</v>
      </c>
      <c r="AD50" s="24">
        <f t="shared" si="6"/>
        <v>72.100000000000009</v>
      </c>
      <c r="AE50" s="24">
        <f>AD50*'Front page'!$B$16</f>
        <v>1.4420000000000002</v>
      </c>
      <c r="AG50" s="6">
        <f>M50*'Front page'!$E$3</f>
        <v>3539905.7151640519</v>
      </c>
      <c r="AH50" s="6">
        <f>N50*'Front page'!$E$3</f>
        <v>104085.99328915105</v>
      </c>
      <c r="AI50" s="6">
        <f>O50*'Front page'!$E$3</f>
        <v>88865.871628945009</v>
      </c>
      <c r="AJ50" s="6">
        <f>P50*'Front page'!$E$3</f>
        <v>22093.724990621682</v>
      </c>
      <c r="AK50" s="6">
        <f>Q50*'Front page'!$E$3</f>
        <v>172331.05492684914</v>
      </c>
      <c r="AL50" s="6">
        <f>S50*'Front page'!$E$3</f>
        <v>27935.491307479992</v>
      </c>
      <c r="AM50" s="5">
        <f>Z50*'Front page'!$E$3</f>
        <v>0</v>
      </c>
      <c r="AN50" s="6">
        <f>T50*'Front page'!$E$3</f>
        <v>7079.8114303281045</v>
      </c>
      <c r="AO50" s="6">
        <f>U50*'Front page'!$E$3</f>
        <v>0</v>
      </c>
      <c r="AP50" s="6">
        <f>W50*'Front page'!$E$3</f>
        <v>738962.72494063654</v>
      </c>
      <c r="AQ50" s="6">
        <f>V50*'Front page'!$E$3</f>
        <v>0</v>
      </c>
      <c r="AR50" s="6">
        <f>X50*'Front page'!$E$3</f>
        <v>0</v>
      </c>
      <c r="AS50" s="6">
        <f t="shared" si="7"/>
        <v>4701260.3876780635</v>
      </c>
      <c r="AT50" s="7">
        <f>IF(AS50&gt;'Funding Comparison'!D50*(1+'Front page'!$H$10),'Funding Comparison'!D50*(1+'Front page'!$H$10),AS50)</f>
        <v>1549255.9005000002</v>
      </c>
    </row>
    <row r="51" spans="1:46">
      <c r="A51" t="str">
        <f t="shared" si="0"/>
        <v>215</v>
      </c>
      <c r="B51">
        <f t="shared" si="2"/>
        <v>215</v>
      </c>
      <c r="C51" s="14" t="s">
        <v>59</v>
      </c>
      <c r="D51">
        <f>IF(settings!$G$4=0,'Student Enrollment Data'!AX52,'Student Enrollment Data'!CK52)</f>
        <v>2105</v>
      </c>
      <c r="E51">
        <f>IF(settings!$G$4=0,'Student Enrollment Data'!AY52,'Student Enrollment Data'!CL52)</f>
        <v>553</v>
      </c>
      <c r="F51">
        <f>IF(settings!$G$4=0,'Student Enrollment Data'!AZ52,'Student Enrollment Data'!CM52)</f>
        <v>667</v>
      </c>
      <c r="G51" s="23">
        <f>'Student Enrollment Data'!BK52</f>
        <v>212</v>
      </c>
      <c r="H51">
        <f>'Student Enrollment Data'!BF52</f>
        <v>1038</v>
      </c>
      <c r="I51">
        <f>SUM('Student Enrollment Data'!R52:X52,'Student Enrollment Data'!AQ52:AW52)</f>
        <v>0</v>
      </c>
      <c r="J51">
        <f>'Student Enrollment Data'!BS52</f>
        <v>263</v>
      </c>
      <c r="K51">
        <f t="shared" si="3"/>
        <v>210.5</v>
      </c>
      <c r="M51" s="27">
        <f t="shared" si="8"/>
        <v>2105</v>
      </c>
      <c r="N51" s="27">
        <f>E51*'Front page'!$B$20</f>
        <v>55.300000000000004</v>
      </c>
      <c r="O51" s="27">
        <f>F51*'Front page'!$B$21</f>
        <v>66.7</v>
      </c>
      <c r="P51">
        <f>G51*'Front page'!$B$18</f>
        <v>21.200000000000003</v>
      </c>
      <c r="Q51" s="27">
        <f>IF(settings!$B$4=0,Calculations!H51,Calculations!I51) *'Front page'!$B$11</f>
        <v>103.80000000000001</v>
      </c>
      <c r="R51" s="28">
        <f>ROUND(I51*'Front page'!$B$9,2)</f>
        <v>0</v>
      </c>
      <c r="S51" s="27">
        <f>J51*'Front page'!$B$14</f>
        <v>26.3</v>
      </c>
      <c r="T51" s="81">
        <f>'Front page'!$B$16*Calculations!K51</f>
        <v>4.21</v>
      </c>
      <c r="U51" s="81">
        <f>IF(settings!$B$13=0,(Calculations!M51*'Economic Adjustment'!O50)-Calculations!M51,0)</f>
        <v>0</v>
      </c>
      <c r="V51" s="154">
        <f>VLOOKUP(B51,'Remote School Building Weight'!$M$2:$P$174,3,FALSE)</f>
        <v>34.061836128669121</v>
      </c>
      <c r="W51" s="23">
        <f>'Small Dist Weight'!V50-Calculations!D51</f>
        <v>0</v>
      </c>
      <c r="X51" s="23">
        <f>IF(settings!$P$9=0,'Large District Weight'!H50*'Large District Weight'!G50,0)</f>
        <v>0</v>
      </c>
      <c r="Y51" s="23">
        <f t="shared" si="4"/>
        <v>2416.5718361286695</v>
      </c>
      <c r="Z51" s="23">
        <f>IF(settings!$F$13=0,'Teacher Exp'!L51,0)</f>
        <v>0</v>
      </c>
      <c r="AA51" s="23">
        <f t="shared" si="5"/>
        <v>2416.5718361286695</v>
      </c>
      <c r="AC51" s="24">
        <f>'Student Enrollment Data'!BU52</f>
        <v>80</v>
      </c>
      <c r="AD51" s="24">
        <f t="shared" si="6"/>
        <v>210.5</v>
      </c>
      <c r="AE51" s="24">
        <f>AD51*'Front page'!$B$16</f>
        <v>4.21</v>
      </c>
      <c r="AG51" s="6">
        <f>M51*'Front page'!$E$3</f>
        <v>10334953.578946365</v>
      </c>
      <c r="AH51" s="6">
        <f>N51*'Front page'!$E$3</f>
        <v>271507.33155141759</v>
      </c>
      <c r="AI51" s="6">
        <f>O51*'Front page'!$E$3</f>
        <v>327478.10152765922</v>
      </c>
      <c r="AJ51" s="6">
        <f>P51*'Front page'!$E$3</f>
        <v>104085.99328915105</v>
      </c>
      <c r="AK51" s="6">
        <f>Q51*'Front page'!$E$3</f>
        <v>509628.58978367358</v>
      </c>
      <c r="AL51" s="6">
        <f>S51*'Front page'!$E$3</f>
        <v>129125.54827852228</v>
      </c>
      <c r="AM51" s="5">
        <f>Z51*'Front page'!$E$3</f>
        <v>0</v>
      </c>
      <c r="AN51" s="6">
        <f>T51*'Front page'!$E$3</f>
        <v>20669.907157892732</v>
      </c>
      <c r="AO51" s="6">
        <f>U51*'Front page'!$E$3</f>
        <v>0</v>
      </c>
      <c r="AP51" s="6">
        <f>W51*'Front page'!$E$3</f>
        <v>0</v>
      </c>
      <c r="AQ51" s="6">
        <f>V51*'Front page'!$E$3</f>
        <v>167233.96446720834</v>
      </c>
      <c r="AR51" s="6">
        <f>X51*'Front page'!$E$3</f>
        <v>0</v>
      </c>
      <c r="AS51" s="6">
        <f t="shared" si="7"/>
        <v>11864683.015001889</v>
      </c>
      <c r="AT51" s="7">
        <f>IF(AS51&gt;'Funding Comparison'!D51*(1+'Front page'!$H$10),'Funding Comparison'!D51*(1+'Front page'!$H$10),AS51)</f>
        <v>1708939.4279999998</v>
      </c>
    </row>
    <row r="52" spans="1:46">
      <c r="A52" t="str">
        <f t="shared" si="0"/>
        <v>221</v>
      </c>
      <c r="B52">
        <f t="shared" si="2"/>
        <v>221</v>
      </c>
      <c r="C52" s="14" t="s">
        <v>60</v>
      </c>
      <c r="D52">
        <f>IF(settings!$G$4=0,'Student Enrollment Data'!AX53,'Student Enrollment Data'!CK53)</f>
        <v>2333.0426470588236</v>
      </c>
      <c r="E52">
        <f>IF(settings!$G$4=0,'Student Enrollment Data'!AY53,'Student Enrollment Data'!CL53)</f>
        <v>717.5</v>
      </c>
      <c r="F52">
        <f>IF(settings!$G$4=0,'Student Enrollment Data'!AZ53,'Student Enrollment Data'!CM53)</f>
        <v>600.29019607843134</v>
      </c>
      <c r="G52" s="23">
        <f>'Student Enrollment Data'!BK53</f>
        <v>318</v>
      </c>
      <c r="H52">
        <f>'Student Enrollment Data'!BF53</f>
        <v>1462</v>
      </c>
      <c r="I52">
        <f>SUM('Student Enrollment Data'!R53:X53,'Student Enrollment Data'!AQ53:AW53)</f>
        <v>126.69034528576536</v>
      </c>
      <c r="J52">
        <f>'Student Enrollment Data'!BS53</f>
        <v>117</v>
      </c>
      <c r="K52">
        <f t="shared" si="3"/>
        <v>233.30426470588236</v>
      </c>
      <c r="M52" s="27">
        <f t="shared" si="8"/>
        <v>2333.0426470588236</v>
      </c>
      <c r="N52" s="27">
        <f>E52*'Front page'!$B$20</f>
        <v>71.75</v>
      </c>
      <c r="O52" s="27">
        <f>F52*'Front page'!$B$21</f>
        <v>60.029019607843139</v>
      </c>
      <c r="P52">
        <f>G52*'Front page'!$B$18</f>
        <v>31.8</v>
      </c>
      <c r="Q52" s="27">
        <f>IF(settings!$B$4=0,Calculations!H52,Calculations!I52) *'Front page'!$B$11</f>
        <v>146.20000000000002</v>
      </c>
      <c r="R52" s="28">
        <f>ROUND(I52*'Front page'!$B$9,2)</f>
        <v>0</v>
      </c>
      <c r="S52" s="27">
        <f>J52*'Front page'!$B$14</f>
        <v>11.700000000000001</v>
      </c>
      <c r="T52" s="81">
        <f>'Front page'!$B$16*Calculations!K52</f>
        <v>4.6660852941176474</v>
      </c>
      <c r="U52" s="81">
        <f>IF(settings!$B$13=0,(Calculations!M52*'Economic Adjustment'!O51)-Calculations!M52,0)</f>
        <v>0</v>
      </c>
      <c r="V52" s="154">
        <f>VLOOKUP(B52,'Remote School Building Weight'!$M$2:$P$174,3,FALSE)</f>
        <v>57.936300956463413</v>
      </c>
      <c r="W52" s="23">
        <f>'Small Dist Weight'!V51-Calculations!D52</f>
        <v>0</v>
      </c>
      <c r="X52" s="23">
        <f>IF(settings!$P$9=0,'Large District Weight'!H51*'Large District Weight'!G51,0)</f>
        <v>0</v>
      </c>
      <c r="Y52" s="23">
        <f t="shared" si="4"/>
        <v>2717.1240529172478</v>
      </c>
      <c r="Z52" s="23">
        <f>IF(settings!$F$13=0,'Teacher Exp'!L52,0)</f>
        <v>0</v>
      </c>
      <c r="AA52" s="23">
        <f t="shared" si="5"/>
        <v>2717.1240529172478</v>
      </c>
      <c r="AC52" s="24">
        <f>'Student Enrollment Data'!BU53</f>
        <v>26</v>
      </c>
      <c r="AD52" s="24">
        <f t="shared" si="6"/>
        <v>233.30426470588236</v>
      </c>
      <c r="AE52" s="24">
        <f>AD52*'Front page'!$B$16</f>
        <v>4.6660852941176474</v>
      </c>
      <c r="AG52" s="6">
        <f>M52*'Front page'!$E$3</f>
        <v>11454578.363446599</v>
      </c>
      <c r="AH52" s="6">
        <f>N52*'Front page'!$E$3</f>
        <v>352272.17068380129</v>
      </c>
      <c r="AI52" s="6">
        <f>O52*'Front page'!$E$3</f>
        <v>294725.47792718292</v>
      </c>
      <c r="AJ52" s="6">
        <f>P52*'Front page'!$E$3</f>
        <v>156128.98993372658</v>
      </c>
      <c r="AK52" s="6">
        <f>Q52*'Front page'!$E$3</f>
        <v>717800.57636197563</v>
      </c>
      <c r="AL52" s="6">
        <f>S52*'Front page'!$E$3</f>
        <v>57443.684975616387</v>
      </c>
      <c r="AM52" s="5">
        <f>Z52*'Front page'!$E$3</f>
        <v>0</v>
      </c>
      <c r="AN52" s="6">
        <f>T52*'Front page'!$E$3</f>
        <v>22909.156726893198</v>
      </c>
      <c r="AO52" s="6">
        <f>U52*'Front page'!$E$3</f>
        <v>0</v>
      </c>
      <c r="AP52" s="6">
        <f>W52*'Front page'!$E$3</f>
        <v>0</v>
      </c>
      <c r="AQ52" s="6">
        <f>V52*'Front page'!$E$3</f>
        <v>284450.82229022105</v>
      </c>
      <c r="AR52" s="6">
        <f>X52*'Front page'!$E$3</f>
        <v>0</v>
      </c>
      <c r="AS52" s="6">
        <f t="shared" si="7"/>
        <v>13340309.242346017</v>
      </c>
      <c r="AT52" s="7">
        <f>IF(AS52&gt;'Funding Comparison'!D52*(1+'Front page'!$H$10),'Funding Comparison'!D52*(1+'Front page'!$H$10),AS52)</f>
        <v>1715715.8654999998</v>
      </c>
    </row>
    <row r="53" spans="1:46">
      <c r="A53" t="str">
        <f t="shared" si="0"/>
        <v>231</v>
      </c>
      <c r="B53">
        <f t="shared" si="2"/>
        <v>231</v>
      </c>
      <c r="C53" s="14" t="s">
        <v>61</v>
      </c>
      <c r="D53">
        <f>IF(settings!$G$4=0,'Student Enrollment Data'!AX54,'Student Enrollment Data'!CK54)</f>
        <v>1306.5</v>
      </c>
      <c r="E53">
        <f>IF(settings!$G$4=0,'Student Enrollment Data'!AY54,'Student Enrollment Data'!CL54)</f>
        <v>359.5</v>
      </c>
      <c r="F53">
        <f>IF(settings!$G$4=0,'Student Enrollment Data'!AZ54,'Student Enrollment Data'!CM54)</f>
        <v>400</v>
      </c>
      <c r="G53" s="23">
        <f>'Student Enrollment Data'!BK54</f>
        <v>152</v>
      </c>
      <c r="H53">
        <f>'Student Enrollment Data'!BF54</f>
        <v>580.89</v>
      </c>
      <c r="I53">
        <f>SUM('Student Enrollment Data'!R54:X54,'Student Enrollment Data'!AQ54:AW54)</f>
        <v>0</v>
      </c>
      <c r="J53">
        <f>'Student Enrollment Data'!BS54</f>
        <v>196</v>
      </c>
      <c r="K53">
        <f t="shared" si="3"/>
        <v>130.65</v>
      </c>
      <c r="M53" s="27">
        <f t="shared" si="8"/>
        <v>1306.5</v>
      </c>
      <c r="N53" s="27">
        <f>E53*'Front page'!$B$20</f>
        <v>35.950000000000003</v>
      </c>
      <c r="O53" s="27">
        <f>F53*'Front page'!$B$21</f>
        <v>40</v>
      </c>
      <c r="P53">
        <f>G53*'Front page'!$B$18</f>
        <v>15.200000000000001</v>
      </c>
      <c r="Q53" s="27">
        <f>IF(settings!$B$4=0,Calculations!H53,Calculations!I53) *'Front page'!$B$11</f>
        <v>58.088999999999999</v>
      </c>
      <c r="R53" s="28">
        <f>ROUND(I53*'Front page'!$B$9,2)</f>
        <v>0</v>
      </c>
      <c r="S53" s="27">
        <f>J53*'Front page'!$B$14</f>
        <v>19.600000000000001</v>
      </c>
      <c r="T53" s="81">
        <f>'Front page'!$B$16*Calculations!K53</f>
        <v>2.613</v>
      </c>
      <c r="U53" s="81">
        <f>IF(settings!$B$13=0,(Calculations!M53*'Economic Adjustment'!O52)-Calculations!M53,0)</f>
        <v>0</v>
      </c>
      <c r="V53" s="154">
        <f>VLOOKUP(B53,'Remote School Building Weight'!$M$2:$P$174,3,FALSE)</f>
        <v>0</v>
      </c>
      <c r="W53" s="23">
        <f>'Small Dist Weight'!V52-Calculations!D53</f>
        <v>92.631724137931087</v>
      </c>
      <c r="X53" s="23">
        <f>IF(settings!$P$9=0,'Large District Weight'!H52*'Large District Weight'!G52,0)</f>
        <v>0</v>
      </c>
      <c r="Y53" s="23">
        <f t="shared" si="4"/>
        <v>1570.5837241379311</v>
      </c>
      <c r="Z53" s="23">
        <f>IF(settings!$F$13=0,'Teacher Exp'!L53,0)</f>
        <v>0</v>
      </c>
      <c r="AA53" s="23">
        <f t="shared" si="5"/>
        <v>1570.5837241379311</v>
      </c>
      <c r="AC53" s="24">
        <f>'Student Enrollment Data'!BU54</f>
        <v>72</v>
      </c>
      <c r="AD53" s="24">
        <f t="shared" si="6"/>
        <v>130.65</v>
      </c>
      <c r="AE53" s="24">
        <f>AD53*'Front page'!$B$16</f>
        <v>2.613</v>
      </c>
      <c r="AG53" s="6">
        <f>M53*'Front page'!$E$3</f>
        <v>6414544.8222771622</v>
      </c>
      <c r="AH53" s="6">
        <f>N53*'Front page'!$E$3</f>
        <v>176504.31409174437</v>
      </c>
      <c r="AI53" s="6">
        <f>O53*'Front page'!$E$3</f>
        <v>196388.66658330386</v>
      </c>
      <c r="AJ53" s="6">
        <f>P53*'Front page'!$E$3</f>
        <v>74627.693301655469</v>
      </c>
      <c r="AK53" s="6">
        <f>Q53*'Front page'!$E$3</f>
        <v>285200.53132893844</v>
      </c>
      <c r="AL53" s="6">
        <f>S53*'Front page'!$E$3</f>
        <v>96230.446625818891</v>
      </c>
      <c r="AM53" s="5">
        <f>Z53*'Front page'!$E$3</f>
        <v>0</v>
      </c>
      <c r="AN53" s="6">
        <f>T53*'Front page'!$E$3</f>
        <v>12829.089644554324</v>
      </c>
      <c r="AO53" s="6">
        <f>U53*'Front page'!$E$3</f>
        <v>0</v>
      </c>
      <c r="AP53" s="6">
        <f>W53*'Front page'!$E$3</f>
        <v>454795.51966901822</v>
      </c>
      <c r="AQ53" s="6">
        <f>V53*'Front page'!$E$3</f>
        <v>0</v>
      </c>
      <c r="AR53" s="6">
        <f>X53*'Front page'!$E$3</f>
        <v>0</v>
      </c>
      <c r="AS53" s="6">
        <f t="shared" si="7"/>
        <v>7711121.083522195</v>
      </c>
      <c r="AT53" s="7">
        <f>IF(AS53&gt;'Funding Comparison'!D53*(1+'Front page'!$H$10),'Funding Comparison'!D53*(1+'Front page'!$H$10),AS53)</f>
        <v>1532834.1</v>
      </c>
    </row>
    <row r="54" spans="1:46">
      <c r="A54" t="str">
        <f t="shared" si="0"/>
        <v>232</v>
      </c>
      <c r="B54">
        <f t="shared" si="2"/>
        <v>232</v>
      </c>
      <c r="C54" s="14" t="s">
        <v>62</v>
      </c>
      <c r="D54">
        <f>IF(settings!$G$4=0,'Student Enrollment Data'!AX55,'Student Enrollment Data'!CK55)</f>
        <v>1023</v>
      </c>
      <c r="E54">
        <f>IF(settings!$G$4=0,'Student Enrollment Data'!AY55,'Student Enrollment Data'!CL55)</f>
        <v>290</v>
      </c>
      <c r="F54">
        <f>IF(settings!$G$4=0,'Student Enrollment Data'!AZ55,'Student Enrollment Data'!CM55)</f>
        <v>278</v>
      </c>
      <c r="G54" s="23">
        <f>'Student Enrollment Data'!BK55</f>
        <v>129</v>
      </c>
      <c r="H54">
        <f>'Student Enrollment Data'!BF55</f>
        <v>761</v>
      </c>
      <c r="I54">
        <f>SUM('Student Enrollment Data'!R55:X55,'Student Enrollment Data'!AQ55:AW55)</f>
        <v>0</v>
      </c>
      <c r="J54">
        <f>'Student Enrollment Data'!BS55</f>
        <v>401</v>
      </c>
      <c r="K54">
        <f t="shared" si="3"/>
        <v>102.30000000000001</v>
      </c>
      <c r="M54" s="27">
        <f t="shared" si="8"/>
        <v>1023</v>
      </c>
      <c r="N54" s="27">
        <f>E54*'Front page'!$B$20</f>
        <v>29</v>
      </c>
      <c r="O54" s="27">
        <f>F54*'Front page'!$B$21</f>
        <v>27.8</v>
      </c>
      <c r="P54">
        <f>G54*'Front page'!$B$18</f>
        <v>12.9</v>
      </c>
      <c r="Q54" s="27">
        <f>IF(settings!$B$4=0,Calculations!H54,Calculations!I54) *'Front page'!$B$11</f>
        <v>76.100000000000009</v>
      </c>
      <c r="R54" s="28">
        <f>ROUND(I54*'Front page'!$B$9,2)</f>
        <v>0</v>
      </c>
      <c r="S54" s="27">
        <f>J54*'Front page'!$B$14</f>
        <v>40.1</v>
      </c>
      <c r="T54" s="81">
        <f>'Front page'!$B$16*Calculations!K54</f>
        <v>2.0460000000000003</v>
      </c>
      <c r="U54" s="81">
        <f>IF(settings!$B$13=0,(Calculations!M54*'Economic Adjustment'!O53)-Calculations!M54,0)</f>
        <v>0</v>
      </c>
      <c r="V54" s="154">
        <f>VLOOKUP(B54,'Remote School Building Weight'!$M$2:$P$174,3,FALSE)</f>
        <v>0</v>
      </c>
      <c r="W54" s="23">
        <f>'Small Dist Weight'!V53-Calculations!D54</f>
        <v>113.361379310345</v>
      </c>
      <c r="X54" s="23">
        <f>IF(settings!$P$9=0,'Large District Weight'!H53*'Large District Weight'!G53,0)</f>
        <v>0</v>
      </c>
      <c r="Y54" s="23">
        <f t="shared" si="4"/>
        <v>1324.3073793103449</v>
      </c>
      <c r="Z54" s="23">
        <f>IF(settings!$F$13=0,'Teacher Exp'!L54,0)</f>
        <v>0</v>
      </c>
      <c r="AA54" s="23">
        <f t="shared" si="5"/>
        <v>1324.3073793103449</v>
      </c>
      <c r="AC54" s="24">
        <f>'Student Enrollment Data'!BU55</f>
        <v>41</v>
      </c>
      <c r="AD54" s="24">
        <f t="shared" si="6"/>
        <v>102.30000000000001</v>
      </c>
      <c r="AE54" s="24">
        <f>AD54*'Front page'!$B$16</f>
        <v>2.0460000000000003</v>
      </c>
      <c r="AG54" s="6">
        <f>M54*'Front page'!$E$3</f>
        <v>5022640.1478679962</v>
      </c>
      <c r="AH54" s="6">
        <f>N54*'Front page'!$E$3</f>
        <v>142381.78327289529</v>
      </c>
      <c r="AI54" s="6">
        <f>O54*'Front page'!$E$3</f>
        <v>136490.12327539618</v>
      </c>
      <c r="AJ54" s="6">
        <f>P54*'Front page'!$E$3</f>
        <v>63335.344973115498</v>
      </c>
      <c r="AK54" s="6">
        <f>Q54*'Front page'!$E$3</f>
        <v>373629.43817473564</v>
      </c>
      <c r="AL54" s="6">
        <f>S54*'Front page'!$E$3</f>
        <v>196879.63824976212</v>
      </c>
      <c r="AM54" s="5">
        <f>Z54*'Front page'!$E$3</f>
        <v>0</v>
      </c>
      <c r="AN54" s="6">
        <f>T54*'Front page'!$E$3</f>
        <v>10045.280295735993</v>
      </c>
      <c r="AO54" s="6">
        <f>U54*'Front page'!$E$3</f>
        <v>0</v>
      </c>
      <c r="AP54" s="6">
        <f>W54*'Front page'!$E$3</f>
        <v>556572.25312006962</v>
      </c>
      <c r="AQ54" s="6">
        <f>V54*'Front page'!$E$3</f>
        <v>0</v>
      </c>
      <c r="AR54" s="6">
        <f>X54*'Front page'!$E$3</f>
        <v>0</v>
      </c>
      <c r="AS54" s="6">
        <f t="shared" si="7"/>
        <v>6501974.0092297066</v>
      </c>
      <c r="AT54" s="7">
        <f>IF(AS54&gt;'Funding Comparison'!D54*(1+'Front page'!$H$10),'Funding Comparison'!D54*(1+'Front page'!$H$10),AS54)</f>
        <v>1736370.0480000002</v>
      </c>
    </row>
    <row r="55" spans="1:46">
      <c r="A55" t="str">
        <f t="shared" si="0"/>
        <v>233</v>
      </c>
      <c r="B55">
        <f t="shared" si="2"/>
        <v>233</v>
      </c>
      <c r="C55" s="14" t="s">
        <v>63</v>
      </c>
      <c r="D55">
        <f>IF(settings!$G$4=0,'Student Enrollment Data'!AX56,'Student Enrollment Data'!CK56)</f>
        <v>280.5</v>
      </c>
      <c r="E55">
        <f>IF(settings!$G$4=0,'Student Enrollment Data'!AY56,'Student Enrollment Data'!CL56)</f>
        <v>87.5</v>
      </c>
      <c r="F55">
        <f>IF(settings!$G$4=0,'Student Enrollment Data'!AZ56,'Student Enrollment Data'!CM56)</f>
        <v>65</v>
      </c>
      <c r="G55" s="23">
        <f>'Student Enrollment Data'!BK56</f>
        <v>55</v>
      </c>
      <c r="H55">
        <f>'Student Enrollment Data'!BF56</f>
        <v>177</v>
      </c>
      <c r="I55">
        <f>SUM('Student Enrollment Data'!R56:X56,'Student Enrollment Data'!AQ56:AW56)</f>
        <v>0</v>
      </c>
      <c r="J55">
        <f>'Student Enrollment Data'!BS56</f>
        <v>26</v>
      </c>
      <c r="K55">
        <f t="shared" si="3"/>
        <v>28.05</v>
      </c>
      <c r="M55" s="27">
        <f t="shared" si="8"/>
        <v>280.5</v>
      </c>
      <c r="N55" s="27">
        <f>E55*'Front page'!$B$20</f>
        <v>8.75</v>
      </c>
      <c r="O55" s="27">
        <f>F55*'Front page'!$B$21</f>
        <v>6.5</v>
      </c>
      <c r="P55">
        <f>G55*'Front page'!$B$18</f>
        <v>5.5</v>
      </c>
      <c r="Q55" s="27">
        <f>IF(settings!$B$4=0,Calculations!H55,Calculations!I55) *'Front page'!$B$11</f>
        <v>17.7</v>
      </c>
      <c r="R55" s="28">
        <f>ROUND(I55*'Front page'!$B$9,2)</f>
        <v>0</v>
      </c>
      <c r="S55" s="27">
        <f>J55*'Front page'!$B$14</f>
        <v>2.6</v>
      </c>
      <c r="T55" s="81">
        <f>'Front page'!$B$16*Calculations!K55</f>
        <v>0.56100000000000005</v>
      </c>
      <c r="U55" s="81">
        <f>IF(settings!$B$13=0,(Calculations!M55*'Economic Adjustment'!O54)-Calculations!M55,0)</f>
        <v>0</v>
      </c>
      <c r="V55" s="154">
        <f>VLOOKUP(B55,'Remote School Building Weight'!$M$2:$P$174,3,FALSE)</f>
        <v>0</v>
      </c>
      <c r="W55" s="23">
        <f>'Small Dist Weight'!V54-Calculations!D55</f>
        <v>136.18657719435743</v>
      </c>
      <c r="X55" s="23">
        <f>IF(settings!$P$9=0,'Large District Weight'!H54*'Large District Weight'!G54,0)</f>
        <v>0</v>
      </c>
      <c r="Y55" s="23">
        <f t="shared" si="4"/>
        <v>458.29757719435742</v>
      </c>
      <c r="Z55" s="23">
        <f>IF(settings!$F$13=0,'Teacher Exp'!L55,0)</f>
        <v>0</v>
      </c>
      <c r="AA55" s="23">
        <f t="shared" si="5"/>
        <v>458.29757719435742</v>
      </c>
      <c r="AC55" s="24">
        <f>'Student Enrollment Data'!BU56</f>
        <v>0</v>
      </c>
      <c r="AD55" s="24">
        <f t="shared" si="6"/>
        <v>28.05</v>
      </c>
      <c r="AE55" s="24">
        <f>AD55*'Front page'!$B$16</f>
        <v>0.56100000000000005</v>
      </c>
      <c r="AG55" s="6">
        <f>M55*'Front page'!$E$3</f>
        <v>1377175.5244154183</v>
      </c>
      <c r="AH55" s="6">
        <f>N55*'Front page'!$E$3</f>
        <v>42960.02081509772</v>
      </c>
      <c r="AI55" s="6">
        <f>O55*'Front page'!$E$3</f>
        <v>31913.158319786875</v>
      </c>
      <c r="AJ55" s="6">
        <f>P55*'Front page'!$E$3</f>
        <v>27003.441655204282</v>
      </c>
      <c r="AK55" s="6">
        <f>Q55*'Front page'!$E$3</f>
        <v>86901.984963111958</v>
      </c>
      <c r="AL55" s="6">
        <f>S55*'Front page'!$E$3</f>
        <v>12765.26332791475</v>
      </c>
      <c r="AM55" s="5">
        <f>Z55*'Front page'!$E$3</f>
        <v>0</v>
      </c>
      <c r="AN55" s="6">
        <f>T55*'Front page'!$E$3</f>
        <v>2754.351048830837</v>
      </c>
      <c r="AO55" s="6">
        <f>U55*'Front page'!$E$3</f>
        <v>0</v>
      </c>
      <c r="AP55" s="6">
        <f>W55*'Front page'!$E$3</f>
        <v>668637.50754360086</v>
      </c>
      <c r="AQ55" s="6">
        <f>V55*'Front page'!$E$3</f>
        <v>0</v>
      </c>
      <c r="AR55" s="6">
        <f>X55*'Front page'!$E$3</f>
        <v>0</v>
      </c>
      <c r="AS55" s="6">
        <f t="shared" si="7"/>
        <v>2250111.2520889658</v>
      </c>
      <c r="AT55" s="7">
        <f>IF(AS55&gt;'Funding Comparison'!D55*(1+'Front page'!$H$10),'Funding Comparison'!D55*(1+'Front page'!$H$10),AS55)</f>
        <v>1698590.4495000001</v>
      </c>
    </row>
    <row r="56" spans="1:46">
      <c r="A56" t="str">
        <f t="shared" si="0"/>
        <v>234</v>
      </c>
      <c r="B56">
        <f t="shared" si="2"/>
        <v>234</v>
      </c>
      <c r="C56" s="14" t="s">
        <v>64</v>
      </c>
      <c r="D56">
        <f>IF(settings!$G$4=0,'Student Enrollment Data'!AX57,'Student Enrollment Data'!CK57)</f>
        <v>133</v>
      </c>
      <c r="E56">
        <f>IF(settings!$G$4=0,'Student Enrollment Data'!AY57,'Student Enrollment Data'!CL57)</f>
        <v>38</v>
      </c>
      <c r="F56">
        <f>IF(settings!$G$4=0,'Student Enrollment Data'!AZ57,'Student Enrollment Data'!CM57)</f>
        <v>35</v>
      </c>
      <c r="G56" s="23">
        <f>'Student Enrollment Data'!BK57</f>
        <v>11</v>
      </c>
      <c r="H56">
        <f>'Student Enrollment Data'!BF57</f>
        <v>107</v>
      </c>
      <c r="I56">
        <f>SUM('Student Enrollment Data'!R57:X57,'Student Enrollment Data'!AQ57:AW57)</f>
        <v>0</v>
      </c>
      <c r="J56">
        <f>'Student Enrollment Data'!BS57</f>
        <v>21</v>
      </c>
      <c r="K56">
        <f t="shared" si="3"/>
        <v>13.3</v>
      </c>
      <c r="M56" s="27">
        <f t="shared" si="8"/>
        <v>133</v>
      </c>
      <c r="N56" s="27">
        <f>E56*'Front page'!$B$20</f>
        <v>3.8000000000000003</v>
      </c>
      <c r="O56" s="27">
        <f>F56*'Front page'!$B$21</f>
        <v>3.5</v>
      </c>
      <c r="P56">
        <f>G56*'Front page'!$B$18</f>
        <v>1.1000000000000001</v>
      </c>
      <c r="Q56" s="27">
        <f>IF(settings!$B$4=0,Calculations!H56,Calculations!I56) *'Front page'!$B$11</f>
        <v>10.700000000000001</v>
      </c>
      <c r="R56" s="28">
        <f>ROUND(I56*'Front page'!$B$9,2)</f>
        <v>0</v>
      </c>
      <c r="S56" s="27">
        <f>J56*'Front page'!$B$14</f>
        <v>2.1</v>
      </c>
      <c r="T56" s="81">
        <f>'Front page'!$B$16*Calculations!K56</f>
        <v>0.26600000000000001</v>
      </c>
      <c r="U56" s="81">
        <f>IF(settings!$B$13=0,(Calculations!M56*'Economic Adjustment'!O55)-Calculations!M56,0)</f>
        <v>0</v>
      </c>
      <c r="V56" s="154">
        <f>VLOOKUP(B56,'Remote School Building Weight'!$M$2:$P$174,3,FALSE)</f>
        <v>0</v>
      </c>
      <c r="W56" s="23">
        <f>'Small Dist Weight'!V55-Calculations!D56</f>
        <v>180.79996081504703</v>
      </c>
      <c r="X56" s="23">
        <f>IF(settings!$P$9=0,'Large District Weight'!H55*'Large District Weight'!G55,0)</f>
        <v>0</v>
      </c>
      <c r="Y56" s="23">
        <f t="shared" si="4"/>
        <v>335.26596081504704</v>
      </c>
      <c r="Z56" s="23">
        <f>IF(settings!$F$13=0,'Teacher Exp'!L56,0)</f>
        <v>0</v>
      </c>
      <c r="AA56" s="23">
        <f t="shared" si="5"/>
        <v>335.26596081504704</v>
      </c>
      <c r="AC56" s="24">
        <f>'Student Enrollment Data'!BU57</f>
        <v>0</v>
      </c>
      <c r="AD56" s="24">
        <f t="shared" si="6"/>
        <v>13.3</v>
      </c>
      <c r="AE56" s="24">
        <f>AD56*'Front page'!$B$16</f>
        <v>0.26600000000000001</v>
      </c>
      <c r="AG56" s="6">
        <f>M56*'Front page'!$E$3</f>
        <v>652992.31638948538</v>
      </c>
      <c r="AH56" s="6">
        <f>N56*'Front page'!$E$3</f>
        <v>18656.923325413867</v>
      </c>
      <c r="AI56" s="6">
        <f>O56*'Front page'!$E$3</f>
        <v>17184.008326039089</v>
      </c>
      <c r="AJ56" s="6">
        <f>P56*'Front page'!$E$3</f>
        <v>5400.6883310408566</v>
      </c>
      <c r="AK56" s="6">
        <f>Q56*'Front page'!$E$3</f>
        <v>52533.968311033786</v>
      </c>
      <c r="AL56" s="6">
        <f>S56*'Front page'!$E$3</f>
        <v>10310.404995623452</v>
      </c>
      <c r="AM56" s="5">
        <f>Z56*'Front page'!$E$3</f>
        <v>0</v>
      </c>
      <c r="AN56" s="6">
        <f>T56*'Front page'!$E$3</f>
        <v>1305.9846327789708</v>
      </c>
      <c r="AO56" s="6">
        <f>U56*'Front page'!$E$3</f>
        <v>0</v>
      </c>
      <c r="AP56" s="6">
        <f>W56*'Front page'!$E$3</f>
        <v>887676.58056951687</v>
      </c>
      <c r="AQ56" s="6">
        <f>V56*'Front page'!$E$3</f>
        <v>0</v>
      </c>
      <c r="AR56" s="6">
        <f>X56*'Front page'!$E$3</f>
        <v>0</v>
      </c>
      <c r="AS56" s="6">
        <f t="shared" si="7"/>
        <v>1646060.8748809323</v>
      </c>
      <c r="AT56" s="7">
        <f>IF(AS56&gt;'Funding Comparison'!D56*(1+'Front page'!$H$10),'Funding Comparison'!D56*(1+'Front page'!$H$10),AS56)</f>
        <v>1646060.8748809323</v>
      </c>
    </row>
    <row r="57" spans="1:46">
      <c r="A57" t="str">
        <f t="shared" si="0"/>
        <v>242</v>
      </c>
      <c r="B57">
        <f t="shared" si="2"/>
        <v>242</v>
      </c>
      <c r="C57" s="14" t="s">
        <v>65</v>
      </c>
      <c r="D57">
        <f>IF(settings!$G$4=0,'Student Enrollment Data'!AX58,'Student Enrollment Data'!CK58)</f>
        <v>369</v>
      </c>
      <c r="E57">
        <f>IF(settings!$G$4=0,'Student Enrollment Data'!AY58,'Student Enrollment Data'!CL58)</f>
        <v>95</v>
      </c>
      <c r="F57">
        <f>IF(settings!$G$4=0,'Student Enrollment Data'!AZ58,'Student Enrollment Data'!CM58)</f>
        <v>131</v>
      </c>
      <c r="G57" s="23">
        <f>'Student Enrollment Data'!BK58</f>
        <v>22</v>
      </c>
      <c r="H57">
        <f>'Student Enrollment Data'!BF58</f>
        <v>135</v>
      </c>
      <c r="I57">
        <f>SUM('Student Enrollment Data'!R58:X58,'Student Enrollment Data'!AQ58:AW58)</f>
        <v>0</v>
      </c>
      <c r="J57">
        <f>'Student Enrollment Data'!BS58</f>
        <v>0</v>
      </c>
      <c r="K57">
        <f t="shared" si="3"/>
        <v>36.9</v>
      </c>
      <c r="M57" s="27">
        <f t="shared" si="8"/>
        <v>369</v>
      </c>
      <c r="N57" s="27">
        <f>E57*'Front page'!$B$20</f>
        <v>9.5</v>
      </c>
      <c r="O57" s="27">
        <f>F57*'Front page'!$B$21</f>
        <v>13.100000000000001</v>
      </c>
      <c r="P57">
        <f>G57*'Front page'!$B$18</f>
        <v>2.2000000000000002</v>
      </c>
      <c r="Q57" s="27">
        <f>IF(settings!$B$4=0,Calculations!H57,Calculations!I57) *'Front page'!$B$11</f>
        <v>13.5</v>
      </c>
      <c r="R57" s="28">
        <f>ROUND(I57*'Front page'!$B$9,2)</f>
        <v>0</v>
      </c>
      <c r="S57" s="27">
        <f>J57*'Front page'!$B$14</f>
        <v>0</v>
      </c>
      <c r="T57" s="81">
        <f>'Front page'!$B$16*Calculations!K57</f>
        <v>0.73799999999999999</v>
      </c>
      <c r="U57" s="81">
        <f>IF(settings!$B$13=0,(Calculations!M57*'Economic Adjustment'!O56)-Calculations!M57,0)</f>
        <v>0</v>
      </c>
      <c r="V57" s="154">
        <f>VLOOKUP(B57,'Remote School Building Weight'!$M$2:$P$174,3,FALSE)</f>
        <v>0</v>
      </c>
      <c r="W57" s="23">
        <f>'Small Dist Weight'!V56-Calculations!D57</f>
        <v>170.28273510971781</v>
      </c>
      <c r="X57" s="23">
        <f>IF(settings!$P$9=0,'Large District Weight'!H56*'Large District Weight'!G56,0)</f>
        <v>0</v>
      </c>
      <c r="Y57" s="23">
        <f t="shared" si="4"/>
        <v>578.32073510971782</v>
      </c>
      <c r="Z57" s="23">
        <f>IF(settings!$F$13=0,'Teacher Exp'!L57,0)</f>
        <v>0</v>
      </c>
      <c r="AA57" s="23">
        <f t="shared" si="5"/>
        <v>578.32073510971782</v>
      </c>
      <c r="AC57" s="24">
        <f>'Student Enrollment Data'!BU58</f>
        <v>0</v>
      </c>
      <c r="AD57" s="24">
        <f t="shared" si="6"/>
        <v>36.9</v>
      </c>
      <c r="AE57" s="24">
        <f>AD57*'Front page'!$B$16</f>
        <v>0.73799999999999999</v>
      </c>
      <c r="AG57" s="6">
        <f>M57*'Front page'!$E$3</f>
        <v>1811685.449230978</v>
      </c>
      <c r="AH57" s="6">
        <f>N57*'Front page'!$E$3</f>
        <v>46642.308313534668</v>
      </c>
      <c r="AI57" s="6">
        <f>O57*'Front page'!$E$3</f>
        <v>64317.288306032024</v>
      </c>
      <c r="AJ57" s="6">
        <f>P57*'Front page'!$E$3</f>
        <v>10801.376662081713</v>
      </c>
      <c r="AK57" s="6">
        <f>Q57*'Front page'!$E$3</f>
        <v>66281.174971865054</v>
      </c>
      <c r="AL57" s="6">
        <f>S57*'Front page'!$E$3</f>
        <v>0</v>
      </c>
      <c r="AM57" s="5">
        <f>Z57*'Front page'!$E$3</f>
        <v>0</v>
      </c>
      <c r="AN57" s="6">
        <f>T57*'Front page'!$E$3</f>
        <v>3623.3708984619561</v>
      </c>
      <c r="AO57" s="6">
        <f>U57*'Front page'!$E$3</f>
        <v>0</v>
      </c>
      <c r="AP57" s="6">
        <f>W57*'Front page'!$E$3</f>
        <v>836039.98225888552</v>
      </c>
      <c r="AQ57" s="6">
        <f>V57*'Front page'!$E$3</f>
        <v>0</v>
      </c>
      <c r="AR57" s="6">
        <f>X57*'Front page'!$E$3</f>
        <v>0</v>
      </c>
      <c r="AS57" s="6">
        <f t="shared" si="7"/>
        <v>2839390.9506418388</v>
      </c>
      <c r="AT57" s="7">
        <f>IF(AS57&gt;'Funding Comparison'!D57*(1+'Front page'!$H$10),'Funding Comparison'!D57*(1+'Front page'!$H$10),AS57)</f>
        <v>2839390.9506418388</v>
      </c>
    </row>
    <row r="58" spans="1:46">
      <c r="A58" t="str">
        <f t="shared" si="0"/>
        <v>243</v>
      </c>
      <c r="B58">
        <f t="shared" si="2"/>
        <v>243</v>
      </c>
      <c r="C58" s="14" t="s">
        <v>66</v>
      </c>
      <c r="D58">
        <f>IF(settings!$G$4=0,'Student Enrollment Data'!AX59,'Student Enrollment Data'!CK59)</f>
        <v>114.5</v>
      </c>
      <c r="E58">
        <f>IF(settings!$G$4=0,'Student Enrollment Data'!AY59,'Student Enrollment Data'!CL59)</f>
        <v>36.5</v>
      </c>
      <c r="F58">
        <f>IF(settings!$G$4=0,'Student Enrollment Data'!AZ59,'Student Enrollment Data'!CM59)</f>
        <v>40</v>
      </c>
      <c r="G58" s="23">
        <f>'Student Enrollment Data'!BK59</f>
        <v>15</v>
      </c>
      <c r="H58">
        <f>'Student Enrollment Data'!BF59</f>
        <v>52</v>
      </c>
      <c r="I58">
        <f>SUM('Student Enrollment Data'!R59:X59,'Student Enrollment Data'!AQ59:AW59)</f>
        <v>0</v>
      </c>
      <c r="J58">
        <f>'Student Enrollment Data'!BS59</f>
        <v>0</v>
      </c>
      <c r="K58">
        <f t="shared" si="3"/>
        <v>11.450000000000001</v>
      </c>
      <c r="M58" s="27">
        <f t="shared" si="8"/>
        <v>114.5</v>
      </c>
      <c r="N58" s="27">
        <f>E58*'Front page'!$B$20</f>
        <v>3.6500000000000004</v>
      </c>
      <c r="O58" s="27">
        <f>F58*'Front page'!$B$21</f>
        <v>4</v>
      </c>
      <c r="P58">
        <f>G58*'Front page'!$B$18</f>
        <v>1.5</v>
      </c>
      <c r="Q58" s="27">
        <f>IF(settings!$B$4=0,Calculations!H58,Calculations!I58) *'Front page'!$B$11</f>
        <v>5.2</v>
      </c>
      <c r="R58" s="28">
        <f>ROUND(I58*'Front page'!$B$9,2)</f>
        <v>0</v>
      </c>
      <c r="S58" s="27">
        <f>J58*'Front page'!$B$14</f>
        <v>0</v>
      </c>
      <c r="T58" s="81">
        <f>'Front page'!$B$16*Calculations!K58</f>
        <v>0.22900000000000004</v>
      </c>
      <c r="U58" s="81">
        <f>IF(settings!$B$13=0,(Calculations!M58*'Economic Adjustment'!O57)-Calculations!M58,0)</f>
        <v>0</v>
      </c>
      <c r="V58" s="154">
        <f>VLOOKUP(B58,'Remote School Building Weight'!$M$2:$P$174,3,FALSE)</f>
        <v>0</v>
      </c>
      <c r="W58" s="23">
        <f>'Small Dist Weight'!V57-Calculations!D58</f>
        <v>175.98808581504704</v>
      </c>
      <c r="X58" s="23">
        <f>IF(settings!$P$9=0,'Large District Weight'!H57*'Large District Weight'!G57,0)</f>
        <v>0</v>
      </c>
      <c r="Y58" s="23">
        <f t="shared" si="4"/>
        <v>305.06708581504705</v>
      </c>
      <c r="Z58" s="23">
        <f>IF(settings!$F$13=0,'Teacher Exp'!L58,0)</f>
        <v>0</v>
      </c>
      <c r="AA58" s="23">
        <f t="shared" si="5"/>
        <v>305.06708581504705</v>
      </c>
      <c r="AC58" s="24">
        <f>'Student Enrollment Data'!BU59</f>
        <v>0</v>
      </c>
      <c r="AD58" s="24">
        <f t="shared" si="6"/>
        <v>11.450000000000001</v>
      </c>
      <c r="AE58" s="24">
        <f>AD58*'Front page'!$B$16</f>
        <v>0.22900000000000004</v>
      </c>
      <c r="AG58" s="6">
        <f>M58*'Front page'!$E$3</f>
        <v>562162.55809470732</v>
      </c>
      <c r="AH58" s="6">
        <f>N58*'Front page'!$E$3</f>
        <v>17920.465825726478</v>
      </c>
      <c r="AI58" s="6">
        <f>O58*'Front page'!$E$3</f>
        <v>19638.866658330386</v>
      </c>
      <c r="AJ58" s="6">
        <f>P58*'Front page'!$E$3</f>
        <v>7364.5749968738946</v>
      </c>
      <c r="AK58" s="6">
        <f>Q58*'Front page'!$E$3</f>
        <v>25530.526655829501</v>
      </c>
      <c r="AL58" s="6">
        <f>S58*'Front page'!$E$3</f>
        <v>0</v>
      </c>
      <c r="AM58" s="5">
        <f>Z58*'Front page'!$E$3</f>
        <v>0</v>
      </c>
      <c r="AN58" s="6">
        <f>T58*'Front page'!$E$3</f>
        <v>1124.3251161894148</v>
      </c>
      <c r="AO58" s="6">
        <f>U58*'Front page'!$E$3</f>
        <v>0</v>
      </c>
      <c r="AP58" s="6">
        <f>W58*'Front page'!$E$3</f>
        <v>864051.63769412856</v>
      </c>
      <c r="AQ58" s="6">
        <f>V58*'Front page'!$E$3</f>
        <v>0</v>
      </c>
      <c r="AR58" s="6">
        <f>X58*'Front page'!$E$3</f>
        <v>0</v>
      </c>
      <c r="AS58" s="6">
        <f t="shared" si="7"/>
        <v>1497792.9550417857</v>
      </c>
      <c r="AT58" s="7">
        <f>IF(AS58&gt;'Funding Comparison'!D58*(1+'Front page'!$H$10),'Funding Comparison'!D58*(1+'Front page'!$H$10),AS58)</f>
        <v>1497792.9550417857</v>
      </c>
    </row>
    <row r="59" spans="1:46">
      <c r="A59" t="str">
        <f t="shared" si="0"/>
        <v>244</v>
      </c>
      <c r="B59">
        <f t="shared" si="2"/>
        <v>244</v>
      </c>
      <c r="C59" s="14" t="s">
        <v>67</v>
      </c>
      <c r="D59">
        <f>IF(settings!$G$4=0,'Student Enrollment Data'!AX60,'Student Enrollment Data'!CK60)</f>
        <v>1200</v>
      </c>
      <c r="E59">
        <f>IF(settings!$G$4=0,'Student Enrollment Data'!AY60,'Student Enrollment Data'!CL60)</f>
        <v>330</v>
      </c>
      <c r="F59">
        <f>IF(settings!$G$4=0,'Student Enrollment Data'!AZ60,'Student Enrollment Data'!CM60)</f>
        <v>385</v>
      </c>
      <c r="G59" s="23">
        <f>'Student Enrollment Data'!BK60</f>
        <v>157</v>
      </c>
      <c r="H59">
        <f>'Student Enrollment Data'!BF60</f>
        <v>532</v>
      </c>
      <c r="I59">
        <f>SUM('Student Enrollment Data'!R60:X60,'Student Enrollment Data'!AQ60:AW60)</f>
        <v>0</v>
      </c>
      <c r="J59">
        <f>'Student Enrollment Data'!BS60</f>
        <v>100.79067576424836</v>
      </c>
      <c r="K59">
        <f t="shared" si="3"/>
        <v>120</v>
      </c>
      <c r="M59" s="27">
        <f t="shared" si="8"/>
        <v>1200</v>
      </c>
      <c r="N59" s="27">
        <f>E59*'Front page'!$B$20</f>
        <v>33</v>
      </c>
      <c r="O59" s="27">
        <f>F59*'Front page'!$B$21</f>
        <v>38.5</v>
      </c>
      <c r="P59">
        <f>G59*'Front page'!$B$18</f>
        <v>15.700000000000001</v>
      </c>
      <c r="Q59" s="27">
        <f>IF(settings!$B$4=0,Calculations!H59,Calculations!I59) *'Front page'!$B$11</f>
        <v>53.2</v>
      </c>
      <c r="R59" s="28">
        <f>ROUND(I59*'Front page'!$B$9,2)</f>
        <v>0</v>
      </c>
      <c r="S59" s="27">
        <f>J59*'Front page'!$B$14</f>
        <v>10.079067576424837</v>
      </c>
      <c r="T59" s="81">
        <f>'Front page'!$B$16*Calculations!K59</f>
        <v>2.4</v>
      </c>
      <c r="U59" s="81">
        <f>IF(settings!$B$13=0,(Calculations!M59*'Economic Adjustment'!O58)-Calculations!M59,0)</f>
        <v>0</v>
      </c>
      <c r="V59" s="154">
        <f>VLOOKUP(B59,'Remote School Building Weight'!$M$2:$P$174,3,FALSE)</f>
        <v>84.905177216791515</v>
      </c>
      <c r="W59" s="23">
        <f>'Small Dist Weight'!V58-Calculations!D59</f>
        <v>102.69543103448268</v>
      </c>
      <c r="X59" s="23">
        <f>IF(settings!$P$9=0,'Large District Weight'!H58*'Large District Weight'!G58,0)</f>
        <v>0</v>
      </c>
      <c r="Y59" s="23">
        <f t="shared" si="4"/>
        <v>1540.4796758276993</v>
      </c>
      <c r="Z59" s="23">
        <f>IF(settings!$F$13=0,'Teacher Exp'!L59,0)</f>
        <v>0</v>
      </c>
      <c r="AA59" s="23">
        <f t="shared" si="5"/>
        <v>1540.4796758276993</v>
      </c>
      <c r="AC59" s="24">
        <f>'Student Enrollment Data'!BU60</f>
        <v>0</v>
      </c>
      <c r="AD59" s="24">
        <f t="shared" si="6"/>
        <v>120</v>
      </c>
      <c r="AE59" s="24">
        <f>AD59*'Front page'!$B$16</f>
        <v>2.4</v>
      </c>
      <c r="AG59" s="6">
        <f>M59*'Front page'!$E$3</f>
        <v>5891659.9974991158</v>
      </c>
      <c r="AH59" s="6">
        <f>N59*'Front page'!$E$3</f>
        <v>162020.64993122569</v>
      </c>
      <c r="AI59" s="6">
        <f>O59*'Front page'!$E$3</f>
        <v>189024.09158642997</v>
      </c>
      <c r="AJ59" s="6">
        <f>P59*'Front page'!$E$3</f>
        <v>77082.551633946772</v>
      </c>
      <c r="AK59" s="6">
        <f>Q59*'Front page'!$E$3</f>
        <v>261196.92655579414</v>
      </c>
      <c r="AL59" s="6">
        <f>S59*'Front page'!$E$3</f>
        <v>49485.366043427144</v>
      </c>
      <c r="AM59" s="5">
        <f>Z59*'Front page'!$E$3</f>
        <v>0</v>
      </c>
      <c r="AN59" s="6">
        <f>T59*'Front page'!$E$3</f>
        <v>11783.319994998232</v>
      </c>
      <c r="AO59" s="6">
        <f>U59*'Front page'!$E$3</f>
        <v>0</v>
      </c>
      <c r="AP59" s="6">
        <f>W59*'Front page'!$E$3</f>
        <v>504205.46912649239</v>
      </c>
      <c r="AQ59" s="6">
        <f>V59*'Front page'!$E$3</f>
        <v>416860.36349061987</v>
      </c>
      <c r="AR59" s="6">
        <f>X59*'Front page'!$E$3</f>
        <v>0</v>
      </c>
      <c r="AS59" s="6">
        <f t="shared" si="7"/>
        <v>7563318.7358620493</v>
      </c>
      <c r="AT59" s="7">
        <f>IF(AS59&gt;'Funding Comparison'!D59*(1+'Front page'!$H$10),'Funding Comparison'!D59*(1+'Front page'!$H$10),AS59)</f>
        <v>7563318.7358620493</v>
      </c>
    </row>
    <row r="60" spans="1:46">
      <c r="A60" t="str">
        <f t="shared" si="0"/>
        <v>251</v>
      </c>
      <c r="B60">
        <f t="shared" si="2"/>
        <v>251</v>
      </c>
      <c r="C60" s="14" t="s">
        <v>68</v>
      </c>
      <c r="D60">
        <f>IF(settings!$G$4=0,'Student Enrollment Data'!AX61,'Student Enrollment Data'!CK61)</f>
        <v>5835.2720588235297</v>
      </c>
      <c r="E60">
        <f>IF(settings!$G$4=0,'Student Enrollment Data'!AY61,'Student Enrollment Data'!CL61)</f>
        <v>1663.5</v>
      </c>
      <c r="F60">
        <f>IF(settings!$G$4=0,'Student Enrollment Data'!AZ61,'Student Enrollment Data'!CM61)</f>
        <v>1671.8382352941176</v>
      </c>
      <c r="G60" s="23">
        <f>'Student Enrollment Data'!BK61</f>
        <v>487</v>
      </c>
      <c r="H60">
        <f>'Student Enrollment Data'!BF61</f>
        <v>2163</v>
      </c>
      <c r="I60">
        <f>SUM('Student Enrollment Data'!R61:X61,'Student Enrollment Data'!AQ61:AW61)</f>
        <v>108.88812323062565</v>
      </c>
      <c r="J60">
        <f>'Student Enrollment Data'!BS61</f>
        <v>321</v>
      </c>
      <c r="K60">
        <f t="shared" si="3"/>
        <v>583.52720588235297</v>
      </c>
      <c r="M60" s="27">
        <f t="shared" si="8"/>
        <v>5835.2720588235297</v>
      </c>
      <c r="N60" s="27">
        <f>E60*'Front page'!$B$20</f>
        <v>166.35000000000002</v>
      </c>
      <c r="O60" s="27">
        <f>F60*'Front page'!$B$21</f>
        <v>167.18382352941177</v>
      </c>
      <c r="P60">
        <f>G60*'Front page'!$B$18</f>
        <v>48.7</v>
      </c>
      <c r="Q60" s="27">
        <f>IF(settings!$B$4=0,Calculations!H60,Calculations!I60) *'Front page'!$B$11</f>
        <v>216.3</v>
      </c>
      <c r="R60" s="28">
        <f>ROUND(I60*'Front page'!$B$9,2)</f>
        <v>0</v>
      </c>
      <c r="S60" s="27">
        <f>J60*'Front page'!$B$14</f>
        <v>32.1</v>
      </c>
      <c r="T60" s="81">
        <f>'Front page'!$B$16*Calculations!K60</f>
        <v>11.67054411764706</v>
      </c>
      <c r="U60" s="81">
        <f>IF(settings!$B$13=0,(Calculations!M60*'Economic Adjustment'!O59)-Calculations!M60,0)</f>
        <v>0</v>
      </c>
      <c r="V60" s="154">
        <f>VLOOKUP(B60,'Remote School Building Weight'!$M$2:$P$174,3,FALSE)</f>
        <v>0</v>
      </c>
      <c r="W60" s="23">
        <f>'Small Dist Weight'!V59-Calculations!D60</f>
        <v>0</v>
      </c>
      <c r="X60" s="23">
        <f>IF(settings!$P$9=0,'Large District Weight'!H59*'Large District Weight'!G59,0)</f>
        <v>0</v>
      </c>
      <c r="Y60" s="23">
        <f t="shared" si="4"/>
        <v>6477.5764264705895</v>
      </c>
      <c r="Z60" s="23">
        <f>IF(settings!$F$13=0,'Teacher Exp'!L60,0)</f>
        <v>0</v>
      </c>
      <c r="AA60" s="23">
        <f t="shared" si="5"/>
        <v>6477.5764264705895</v>
      </c>
      <c r="AC60" s="24">
        <f>'Student Enrollment Data'!BU61</f>
        <v>175</v>
      </c>
      <c r="AD60" s="24">
        <f t="shared" si="6"/>
        <v>583.52720588235297</v>
      </c>
      <c r="AE60" s="24">
        <f>AD60*'Front page'!$B$16</f>
        <v>11.67054411764706</v>
      </c>
      <c r="AG60" s="6">
        <f>M60*'Front page'!$E$3</f>
        <v>28649532.469579082</v>
      </c>
      <c r="AH60" s="6">
        <f>N60*'Front page'!$E$3</f>
        <v>816731.36715331499</v>
      </c>
      <c r="AI60" s="6">
        <f>O60*'Front page'!$E$3</f>
        <v>820825.20443098899</v>
      </c>
      <c r="AJ60" s="6">
        <f>P60*'Front page'!$E$3</f>
        <v>239103.20156517247</v>
      </c>
      <c r="AK60" s="6">
        <f>Q60*'Front page'!$E$3</f>
        <v>1061971.7145492157</v>
      </c>
      <c r="AL60" s="6">
        <f>S60*'Front page'!$E$3</f>
        <v>157601.90493310135</v>
      </c>
      <c r="AM60" s="5">
        <f>Z60*'Front page'!$E$3</f>
        <v>0</v>
      </c>
      <c r="AN60" s="6">
        <f>T60*'Front page'!$E$3</f>
        <v>57299.064939158161</v>
      </c>
      <c r="AO60" s="6">
        <f>U60*'Front page'!$E$3</f>
        <v>0</v>
      </c>
      <c r="AP60" s="6">
        <f>W60*'Front page'!$E$3</f>
        <v>0</v>
      </c>
      <c r="AQ60" s="6">
        <f>V60*'Front page'!$E$3</f>
        <v>0</v>
      </c>
      <c r="AR60" s="6">
        <f>X60*'Front page'!$E$3</f>
        <v>0</v>
      </c>
      <c r="AS60" s="6">
        <f t="shared" si="7"/>
        <v>31803064.927150041</v>
      </c>
      <c r="AT60" s="7">
        <f>IF(AS60&gt;'Funding Comparison'!D60*(1+'Front page'!$H$10),'Funding Comparison'!D60*(1+'Front page'!$H$10),AS60)</f>
        <v>1654430.1060000001</v>
      </c>
    </row>
    <row r="61" spans="1:46">
      <c r="A61" t="str">
        <f t="shared" si="0"/>
        <v>252</v>
      </c>
      <c r="B61">
        <f t="shared" si="2"/>
        <v>252</v>
      </c>
      <c r="C61" s="14" t="s">
        <v>69</v>
      </c>
      <c r="D61">
        <f>IF(settings!$G$4=0,'Student Enrollment Data'!AX62,'Student Enrollment Data'!CK62)</f>
        <v>675.5</v>
      </c>
      <c r="E61">
        <f>IF(settings!$G$4=0,'Student Enrollment Data'!AY62,'Student Enrollment Data'!CL62)</f>
        <v>154.5</v>
      </c>
      <c r="F61">
        <f>IF(settings!$G$4=0,'Student Enrollment Data'!AZ62,'Student Enrollment Data'!CM62)</f>
        <v>252</v>
      </c>
      <c r="G61" s="23">
        <f>'Student Enrollment Data'!BK62</f>
        <v>73</v>
      </c>
      <c r="H61">
        <f>'Student Enrollment Data'!BF62</f>
        <v>290</v>
      </c>
      <c r="I61">
        <f>SUM('Student Enrollment Data'!R62:X62,'Student Enrollment Data'!AQ62:AW62)</f>
        <v>0</v>
      </c>
      <c r="J61">
        <f>'Student Enrollment Data'!BS62</f>
        <v>19</v>
      </c>
      <c r="K61">
        <f t="shared" si="3"/>
        <v>67.55</v>
      </c>
      <c r="M61" s="27">
        <f t="shared" si="8"/>
        <v>675.5</v>
      </c>
      <c r="N61" s="27">
        <f>E61*'Front page'!$B$20</f>
        <v>15.450000000000001</v>
      </c>
      <c r="O61" s="27">
        <f>F61*'Front page'!$B$21</f>
        <v>25.200000000000003</v>
      </c>
      <c r="P61">
        <f>G61*'Front page'!$B$18</f>
        <v>7.3000000000000007</v>
      </c>
      <c r="Q61" s="27">
        <f>IF(settings!$B$4=0,Calculations!H61,Calculations!I61) *'Front page'!$B$11</f>
        <v>29</v>
      </c>
      <c r="R61" s="28">
        <f>ROUND(I61*'Front page'!$B$9,2)</f>
        <v>0</v>
      </c>
      <c r="S61" s="27">
        <f>J61*'Front page'!$B$14</f>
        <v>1.9000000000000001</v>
      </c>
      <c r="T61" s="81">
        <f>'Front page'!$B$16*Calculations!K61</f>
        <v>1.351</v>
      </c>
      <c r="U61" s="81">
        <f>IF(settings!$B$13=0,(Calculations!M61*'Economic Adjustment'!O60)-Calculations!M61,0)</f>
        <v>0</v>
      </c>
      <c r="V61" s="154">
        <f>VLOOKUP(B61,'Remote School Building Weight'!$M$2:$P$174,3,FALSE)</f>
        <v>0</v>
      </c>
      <c r="W61" s="23">
        <f>'Small Dist Weight'!V60-Calculations!D61</f>
        <v>150.87933581504717</v>
      </c>
      <c r="X61" s="23">
        <f>IF(settings!$P$9=0,'Large District Weight'!H60*'Large District Weight'!G60,0)</f>
        <v>0</v>
      </c>
      <c r="Y61" s="23">
        <f t="shared" si="4"/>
        <v>906.58033581504719</v>
      </c>
      <c r="Z61" s="23">
        <f>IF(settings!$F$13=0,'Teacher Exp'!L61,0)</f>
        <v>0</v>
      </c>
      <c r="AA61" s="23">
        <f t="shared" si="5"/>
        <v>906.58033581504719</v>
      </c>
      <c r="AC61" s="24">
        <f>'Student Enrollment Data'!BU62</f>
        <v>0</v>
      </c>
      <c r="AD61" s="24">
        <f t="shared" si="6"/>
        <v>67.55</v>
      </c>
      <c r="AE61" s="24">
        <f>AD61*'Front page'!$B$16</f>
        <v>1.351</v>
      </c>
      <c r="AG61" s="6">
        <f>M61*'Front page'!$E$3</f>
        <v>3316513.6069255439</v>
      </c>
      <c r="AH61" s="6">
        <f>N61*'Front page'!$E$3</f>
        <v>75855.12246780112</v>
      </c>
      <c r="AI61" s="6">
        <f>O61*'Front page'!$E$3</f>
        <v>123724.85994748144</v>
      </c>
      <c r="AJ61" s="6">
        <f>P61*'Front page'!$E$3</f>
        <v>35840.931651452956</v>
      </c>
      <c r="AK61" s="6">
        <f>Q61*'Front page'!$E$3</f>
        <v>142381.78327289529</v>
      </c>
      <c r="AL61" s="6">
        <f>S61*'Front page'!$E$3</f>
        <v>9328.4616627069336</v>
      </c>
      <c r="AM61" s="5">
        <f>Z61*'Front page'!$E$3</f>
        <v>0</v>
      </c>
      <c r="AN61" s="6">
        <f>T61*'Front page'!$E$3</f>
        <v>6633.0272138510873</v>
      </c>
      <c r="AO61" s="6">
        <f>U61*'Front page'!$E$3</f>
        <v>0</v>
      </c>
      <c r="AP61" s="6">
        <f>W61*'Front page'!$E$3</f>
        <v>740774.78939229087</v>
      </c>
      <c r="AQ61" s="6">
        <f>V61*'Front page'!$E$3</f>
        <v>0</v>
      </c>
      <c r="AR61" s="6">
        <f>X61*'Front page'!$E$3</f>
        <v>0</v>
      </c>
      <c r="AS61" s="6">
        <f t="shared" si="7"/>
        <v>4451052.5825340236</v>
      </c>
      <c r="AT61" s="7">
        <f>IF(AS61&gt;'Funding Comparison'!D61*(1+'Front page'!$H$10),'Funding Comparison'!D61*(1+'Front page'!$H$10),AS61)</f>
        <v>1862306.4284999999</v>
      </c>
    </row>
    <row r="62" spans="1:46">
      <c r="A62" t="str">
        <f t="shared" si="0"/>
        <v>253</v>
      </c>
      <c r="B62">
        <f t="shared" si="2"/>
        <v>253</v>
      </c>
      <c r="C62" s="14" t="s">
        <v>70</v>
      </c>
      <c r="D62">
        <f>IF(settings!$G$4=0,'Student Enrollment Data'!AX63,'Student Enrollment Data'!CK63)</f>
        <v>576</v>
      </c>
      <c r="E62">
        <f>IF(settings!$G$4=0,'Student Enrollment Data'!AY63,'Student Enrollment Data'!CL63)</f>
        <v>133</v>
      </c>
      <c r="F62">
        <f>IF(settings!$G$4=0,'Student Enrollment Data'!AZ63,'Student Enrollment Data'!CM63)</f>
        <v>212</v>
      </c>
      <c r="G62" s="23">
        <f>'Student Enrollment Data'!BK63</f>
        <v>32</v>
      </c>
      <c r="H62">
        <f>'Student Enrollment Data'!BF63</f>
        <v>265</v>
      </c>
      <c r="I62">
        <f>SUM('Student Enrollment Data'!R63:X63,'Student Enrollment Data'!AQ63:AW63)</f>
        <v>0</v>
      </c>
      <c r="J62">
        <f>'Student Enrollment Data'!BS63</f>
        <v>97</v>
      </c>
      <c r="K62">
        <f t="shared" si="3"/>
        <v>57.6</v>
      </c>
      <c r="M62" s="27">
        <f t="shared" si="8"/>
        <v>576</v>
      </c>
      <c r="N62" s="27">
        <f>E62*'Front page'!$B$20</f>
        <v>13.3</v>
      </c>
      <c r="O62" s="27">
        <f>F62*'Front page'!$B$21</f>
        <v>21.200000000000003</v>
      </c>
      <c r="P62">
        <f>G62*'Front page'!$B$18</f>
        <v>3.2</v>
      </c>
      <c r="Q62" s="27">
        <f>IF(settings!$B$4=0,Calculations!H62,Calculations!I62) *'Front page'!$B$11</f>
        <v>26.5</v>
      </c>
      <c r="R62" s="28">
        <f>ROUND(I62*'Front page'!$B$9,2)</f>
        <v>0</v>
      </c>
      <c r="S62" s="27">
        <f>J62*'Front page'!$B$14</f>
        <v>9.7000000000000011</v>
      </c>
      <c r="T62" s="81">
        <f>'Front page'!$B$16*Calculations!K62</f>
        <v>1.1520000000000001</v>
      </c>
      <c r="U62" s="81">
        <f>IF(settings!$B$13=0,(Calculations!M62*'Economic Adjustment'!O61)-Calculations!M62,0)</f>
        <v>0</v>
      </c>
      <c r="V62" s="154">
        <f>VLOOKUP(B62,'Remote School Building Weight'!$M$2:$P$174,3,FALSE)</f>
        <v>30.209249744037042</v>
      </c>
      <c r="W62" s="23">
        <f>'Small Dist Weight'!V61-Calculations!D62</f>
        <v>177.83203761755499</v>
      </c>
      <c r="X62" s="23">
        <f>IF(settings!$P$9=0,'Large District Weight'!H61*'Large District Weight'!G61,0)</f>
        <v>0</v>
      </c>
      <c r="Y62" s="23">
        <f t="shared" si="4"/>
        <v>859.09328736159216</v>
      </c>
      <c r="Z62" s="23">
        <f>IF(settings!$F$13=0,'Teacher Exp'!L62,0)</f>
        <v>0</v>
      </c>
      <c r="AA62" s="23">
        <f t="shared" si="5"/>
        <v>859.09328736159216</v>
      </c>
      <c r="AC62" s="24">
        <f>'Student Enrollment Data'!BU63</f>
        <v>30</v>
      </c>
      <c r="AD62" s="24">
        <f t="shared" si="6"/>
        <v>57.6</v>
      </c>
      <c r="AE62" s="24">
        <f>AD62*'Front page'!$B$16</f>
        <v>1.1520000000000001</v>
      </c>
      <c r="AG62" s="6">
        <f>M62*'Front page'!$E$3</f>
        <v>2827996.7987995753</v>
      </c>
      <c r="AH62" s="6">
        <f>N62*'Front page'!$E$3</f>
        <v>65299.231638948535</v>
      </c>
      <c r="AI62" s="6">
        <f>O62*'Front page'!$E$3</f>
        <v>104085.99328915105</v>
      </c>
      <c r="AJ62" s="6">
        <f>P62*'Front page'!$E$3</f>
        <v>15711.09332666431</v>
      </c>
      <c r="AK62" s="6">
        <f>Q62*'Front page'!$E$3</f>
        <v>130107.4916114388</v>
      </c>
      <c r="AL62" s="6">
        <f>S62*'Front page'!$E$3</f>
        <v>47624.251646451194</v>
      </c>
      <c r="AM62" s="5">
        <f>Z62*'Front page'!$E$3</f>
        <v>0</v>
      </c>
      <c r="AN62" s="6">
        <f>T62*'Front page'!$E$3</f>
        <v>5655.9935975991521</v>
      </c>
      <c r="AO62" s="6">
        <f>U62*'Front page'!$E$3</f>
        <v>0</v>
      </c>
      <c r="AP62" s="6">
        <f>W62*'Front page'!$E$3</f>
        <v>873104.91858758894</v>
      </c>
      <c r="AQ62" s="6">
        <f>V62*'Front page'!$E$3</f>
        <v>148318.85689283619</v>
      </c>
      <c r="AR62" s="6">
        <f>X62*'Front page'!$E$3</f>
        <v>0</v>
      </c>
      <c r="AS62" s="6">
        <f t="shared" si="7"/>
        <v>4217904.6293902537</v>
      </c>
      <c r="AT62" s="7">
        <f>IF(AS62&gt;'Funding Comparison'!D62*(1+'Front page'!$H$10),'Funding Comparison'!D62*(1+'Front page'!$H$10),AS62)</f>
        <v>1824148.4205</v>
      </c>
    </row>
    <row r="63" spans="1:46">
      <c r="A63" t="str">
        <f t="shared" si="0"/>
        <v>261</v>
      </c>
      <c r="B63">
        <f t="shared" si="2"/>
        <v>261</v>
      </c>
      <c r="C63" s="14" t="s">
        <v>71</v>
      </c>
      <c r="D63">
        <f>IF(settings!$G$4=0,'Student Enrollment Data'!AX64,'Student Enrollment Data'!CK64)</f>
        <v>3890.1860294117646</v>
      </c>
      <c r="E63">
        <f>IF(settings!$G$4=0,'Student Enrollment Data'!AY64,'Student Enrollment Data'!CL64)</f>
        <v>1063.5</v>
      </c>
      <c r="F63">
        <f>IF(settings!$G$4=0,'Student Enrollment Data'!AZ64,'Student Enrollment Data'!CM64)</f>
        <v>1115.9512254901961</v>
      </c>
      <c r="G63" s="23">
        <f>'Student Enrollment Data'!BK64</f>
        <v>393</v>
      </c>
      <c r="H63">
        <f>'Student Enrollment Data'!BF64</f>
        <v>2386</v>
      </c>
      <c r="I63">
        <f>SUM('Student Enrollment Data'!R64:X64,'Student Enrollment Data'!AQ64:AW64)</f>
        <v>84.060052698499931</v>
      </c>
      <c r="J63">
        <f>'Student Enrollment Data'!BS64</f>
        <v>1054</v>
      </c>
      <c r="K63">
        <f t="shared" si="3"/>
        <v>389.01860294117648</v>
      </c>
      <c r="M63" s="27">
        <f t="shared" si="8"/>
        <v>3890.1860294117646</v>
      </c>
      <c r="N63" s="27">
        <f>E63*'Front page'!$B$20</f>
        <v>106.35000000000001</v>
      </c>
      <c r="O63" s="27">
        <f>F63*'Front page'!$B$21</f>
        <v>111.59512254901961</v>
      </c>
      <c r="P63">
        <f>G63*'Front page'!$B$18</f>
        <v>39.300000000000004</v>
      </c>
      <c r="Q63" s="27">
        <f>IF(settings!$B$4=0,Calculations!H63,Calculations!I63) *'Front page'!$B$11</f>
        <v>238.60000000000002</v>
      </c>
      <c r="R63" s="28">
        <f>ROUND(I63*'Front page'!$B$9,2)</f>
        <v>0</v>
      </c>
      <c r="S63" s="27">
        <f>J63*'Front page'!$B$14</f>
        <v>105.4</v>
      </c>
      <c r="T63" s="81">
        <f>'Front page'!$B$16*Calculations!K63</f>
        <v>7.7803720588235299</v>
      </c>
      <c r="U63" s="81">
        <f>IF(settings!$B$13=0,(Calculations!M63*'Economic Adjustment'!O62)-Calculations!M63,0)</f>
        <v>0</v>
      </c>
      <c r="V63" s="154">
        <f>VLOOKUP(B63,'Remote School Building Weight'!$M$2:$P$174,3,FALSE)</f>
        <v>0</v>
      </c>
      <c r="W63" s="23">
        <f>'Small Dist Weight'!V62-Calculations!D63</f>
        <v>0</v>
      </c>
      <c r="X63" s="23">
        <f>IF(settings!$P$9=0,'Large District Weight'!H62*'Large District Weight'!G62,0)</f>
        <v>0</v>
      </c>
      <c r="Y63" s="23">
        <f t="shared" si="4"/>
        <v>4499.2115240196081</v>
      </c>
      <c r="Z63" s="23">
        <f>IF(settings!$F$13=0,'Teacher Exp'!L63,0)</f>
        <v>0</v>
      </c>
      <c r="AA63" s="23">
        <f t="shared" si="5"/>
        <v>4499.2115240196081</v>
      </c>
      <c r="AC63" s="24">
        <f>'Student Enrollment Data'!BU64</f>
        <v>132</v>
      </c>
      <c r="AD63" s="24">
        <f t="shared" si="6"/>
        <v>389.01860294117648</v>
      </c>
      <c r="AE63" s="24">
        <f>AD63*'Front page'!$B$16</f>
        <v>7.7803720588235299</v>
      </c>
      <c r="AG63" s="6">
        <f>M63*'Front page'!$E$3</f>
        <v>19099711.176929343</v>
      </c>
      <c r="AH63" s="6">
        <f>N63*'Front page'!$E$3</f>
        <v>522148.36727835919</v>
      </c>
      <c r="AI63" s="6">
        <f>O63*'Front page'!$E$3</f>
        <v>547900.43286505865</v>
      </c>
      <c r="AJ63" s="6">
        <f>P63*'Front page'!$E$3</f>
        <v>192951.86491809605</v>
      </c>
      <c r="AK63" s="6">
        <f>Q63*'Front page'!$E$3</f>
        <v>1171458.3961694075</v>
      </c>
      <c r="AL63" s="6">
        <f>S63*'Front page'!$E$3</f>
        <v>517484.13644700567</v>
      </c>
      <c r="AM63" s="5">
        <f>Z63*'Front page'!$E$3</f>
        <v>0</v>
      </c>
      <c r="AN63" s="6">
        <f>T63*'Front page'!$E$3</f>
        <v>38199.422353858688</v>
      </c>
      <c r="AO63" s="6">
        <f>U63*'Front page'!$E$3</f>
        <v>0</v>
      </c>
      <c r="AP63" s="6">
        <f>W63*'Front page'!$E$3</f>
        <v>0</v>
      </c>
      <c r="AQ63" s="6">
        <f>V63*'Front page'!$E$3</f>
        <v>0</v>
      </c>
      <c r="AR63" s="6">
        <f>X63*'Front page'!$E$3</f>
        <v>0</v>
      </c>
      <c r="AS63" s="6">
        <f t="shared" si="7"/>
        <v>22089853.796961132</v>
      </c>
      <c r="AT63" s="7">
        <f>IF(AS63&gt;'Funding Comparison'!D63*(1+'Front page'!$H$10),'Funding Comparison'!D63*(1+'Front page'!$H$10),AS63)</f>
        <v>1799923.8180000002</v>
      </c>
    </row>
    <row r="64" spans="1:46">
      <c r="A64" t="str">
        <f t="shared" si="0"/>
        <v>262</v>
      </c>
      <c r="B64">
        <f t="shared" si="2"/>
        <v>262</v>
      </c>
      <c r="C64" s="14" t="s">
        <v>72</v>
      </c>
      <c r="D64">
        <f>IF(settings!$G$4=0,'Student Enrollment Data'!AX65,'Student Enrollment Data'!CK65)</f>
        <v>574.5</v>
      </c>
      <c r="E64">
        <f>IF(settings!$G$4=0,'Student Enrollment Data'!AY65,'Student Enrollment Data'!CL65)</f>
        <v>147.5</v>
      </c>
      <c r="F64">
        <f>IF(settings!$G$4=0,'Student Enrollment Data'!AZ65,'Student Enrollment Data'!CM65)</f>
        <v>177</v>
      </c>
      <c r="G64" s="23">
        <f>'Student Enrollment Data'!BK65</f>
        <v>47</v>
      </c>
      <c r="H64">
        <f>'Student Enrollment Data'!BF65</f>
        <v>333</v>
      </c>
      <c r="I64">
        <f>SUM('Student Enrollment Data'!R65:X65,'Student Enrollment Data'!AQ65:AW65)</f>
        <v>0</v>
      </c>
      <c r="J64">
        <f>'Student Enrollment Data'!BS65</f>
        <v>156</v>
      </c>
      <c r="K64">
        <f t="shared" si="3"/>
        <v>57.45</v>
      </c>
      <c r="M64" s="27">
        <f t="shared" si="8"/>
        <v>574.5</v>
      </c>
      <c r="N64" s="27">
        <f>E64*'Front page'!$B$20</f>
        <v>14.75</v>
      </c>
      <c r="O64" s="27">
        <f>F64*'Front page'!$B$21</f>
        <v>17.7</v>
      </c>
      <c r="P64">
        <f>G64*'Front page'!$B$18</f>
        <v>4.7</v>
      </c>
      <c r="Q64" s="27">
        <f>IF(settings!$B$4=0,Calculations!H64,Calculations!I64) *'Front page'!$B$11</f>
        <v>33.300000000000004</v>
      </c>
      <c r="R64" s="28">
        <f>ROUND(I64*'Front page'!$B$9,2)</f>
        <v>0</v>
      </c>
      <c r="S64" s="27">
        <f>J64*'Front page'!$B$14</f>
        <v>15.600000000000001</v>
      </c>
      <c r="T64" s="81">
        <f>'Front page'!$B$16*Calculations!K64</f>
        <v>1.149</v>
      </c>
      <c r="U64" s="81">
        <f>IF(settings!$B$13=0,(Calculations!M64*'Economic Adjustment'!O63)-Calculations!M64,0)</f>
        <v>0</v>
      </c>
      <c r="V64" s="154">
        <f>VLOOKUP(B64,'Remote School Building Weight'!$M$2:$P$174,3,FALSE)</f>
        <v>0</v>
      </c>
      <c r="W64" s="23">
        <f>'Small Dist Weight'!V63-Calculations!D64</f>
        <v>163.87887343260195</v>
      </c>
      <c r="X64" s="23">
        <f>IF(settings!$P$9=0,'Large District Weight'!H63*'Large District Weight'!G63,0)</f>
        <v>0</v>
      </c>
      <c r="Y64" s="23">
        <f t="shared" si="4"/>
        <v>825.57787343260202</v>
      </c>
      <c r="Z64" s="23">
        <f>IF(settings!$F$13=0,'Teacher Exp'!L64,0)</f>
        <v>0</v>
      </c>
      <c r="AA64" s="23">
        <f t="shared" si="5"/>
        <v>825.57787343260202</v>
      </c>
      <c r="AC64" s="24">
        <f>'Student Enrollment Data'!BU65</f>
        <v>0</v>
      </c>
      <c r="AD64" s="24">
        <f t="shared" si="6"/>
        <v>57.45</v>
      </c>
      <c r="AE64" s="24">
        <f>AD64*'Front page'!$B$16</f>
        <v>1.149</v>
      </c>
      <c r="AG64" s="6">
        <f>M64*'Front page'!$E$3</f>
        <v>2820632.2238027016</v>
      </c>
      <c r="AH64" s="6">
        <f>N64*'Front page'!$E$3</f>
        <v>72418.320802593298</v>
      </c>
      <c r="AI64" s="6">
        <f>O64*'Front page'!$E$3</f>
        <v>86901.984963111958</v>
      </c>
      <c r="AJ64" s="6">
        <f>P64*'Front page'!$E$3</f>
        <v>23075.668323538204</v>
      </c>
      <c r="AK64" s="6">
        <f>Q64*'Front page'!$E$3</f>
        <v>163493.56493060049</v>
      </c>
      <c r="AL64" s="6">
        <f>S64*'Front page'!$E$3</f>
        <v>76591.579967488506</v>
      </c>
      <c r="AM64" s="5">
        <f>Z64*'Front page'!$E$3</f>
        <v>0</v>
      </c>
      <c r="AN64" s="6">
        <f>T64*'Front page'!$E$3</f>
        <v>5641.2644476054038</v>
      </c>
      <c r="AO64" s="6">
        <f>U64*'Front page'!$E$3</f>
        <v>0</v>
      </c>
      <c r="AP64" s="6">
        <f>W64*'Front page'!$E$3</f>
        <v>804598.8358650679</v>
      </c>
      <c r="AQ64" s="6">
        <f>V64*'Front page'!$E$3</f>
        <v>0</v>
      </c>
      <c r="AR64" s="6">
        <f>X64*'Front page'!$E$3</f>
        <v>0</v>
      </c>
      <c r="AS64" s="6">
        <f t="shared" si="7"/>
        <v>4053353.4431027072</v>
      </c>
      <c r="AT64" s="7">
        <f>IF(AS64&gt;'Funding Comparison'!D64*(1+'Front page'!$H$10),'Funding Comparison'!D64*(1+'Front page'!$H$10),AS64)</f>
        <v>1869736.6905000003</v>
      </c>
    </row>
    <row r="65" spans="1:46">
      <c r="A65" t="str">
        <f t="shared" si="0"/>
        <v>271</v>
      </c>
      <c r="B65">
        <f t="shared" si="2"/>
        <v>271</v>
      </c>
      <c r="C65" s="14" t="s">
        <v>73</v>
      </c>
      <c r="D65">
        <f>IF(settings!$G$4=0,'Student Enrollment Data'!AX66,'Student Enrollment Data'!CK66)</f>
        <v>10394.551694677872</v>
      </c>
      <c r="E65">
        <f>IF(settings!$G$4=0,'Student Enrollment Data'!AY66,'Student Enrollment Data'!CL66)</f>
        <v>2900</v>
      </c>
      <c r="F65">
        <f>IF(settings!$G$4=0,'Student Enrollment Data'!AZ66,'Student Enrollment Data'!CM66)</f>
        <v>3251.8697899159665</v>
      </c>
      <c r="G65" s="23">
        <f>'Student Enrollment Data'!BK66</f>
        <v>1058</v>
      </c>
      <c r="H65">
        <f>'Student Enrollment Data'!BF66</f>
        <v>3597</v>
      </c>
      <c r="I65">
        <f>SUM('Student Enrollment Data'!R66:X66,'Student Enrollment Data'!AQ66:AW66)</f>
        <v>137.04135586631213</v>
      </c>
      <c r="J65">
        <f>'Student Enrollment Data'!BS66</f>
        <v>75</v>
      </c>
      <c r="K65">
        <f t="shared" si="3"/>
        <v>1039.4551694677873</v>
      </c>
      <c r="M65" s="27">
        <f t="shared" si="8"/>
        <v>10394.551694677872</v>
      </c>
      <c r="N65" s="27">
        <f>E65*'Front page'!$B$20</f>
        <v>290</v>
      </c>
      <c r="O65" s="27">
        <f>F65*'Front page'!$B$21</f>
        <v>325.18697899159667</v>
      </c>
      <c r="P65">
        <f>G65*'Front page'!$B$18</f>
        <v>105.80000000000001</v>
      </c>
      <c r="Q65" s="27">
        <f>IF(settings!$B$4=0,Calculations!H65,Calculations!I65) *'Front page'!$B$11</f>
        <v>359.70000000000005</v>
      </c>
      <c r="R65" s="28">
        <f>ROUND(I65*'Front page'!$B$9,2)</f>
        <v>0</v>
      </c>
      <c r="S65" s="27">
        <f>J65*'Front page'!$B$14</f>
        <v>7.5</v>
      </c>
      <c r="T65" s="81">
        <f>'Front page'!$B$16*Calculations!K65</f>
        <v>20.789103389355745</v>
      </c>
      <c r="U65" s="81">
        <f>IF(settings!$B$13=0,(Calculations!M65*'Economic Adjustment'!O64)-Calculations!M65,0)</f>
        <v>0</v>
      </c>
      <c r="V65" s="154">
        <f>VLOOKUP(B65,'Remote School Building Weight'!$M$2:$P$174,3,FALSE)</f>
        <v>0</v>
      </c>
      <c r="W65" s="23">
        <f>'Small Dist Weight'!V64-Calculations!D65</f>
        <v>-0.2571428571427532</v>
      </c>
      <c r="X65" s="23">
        <f>IF(settings!$P$9=0,'Large District Weight'!H64*'Large District Weight'!G64,0)</f>
        <v>0</v>
      </c>
      <c r="Y65" s="23">
        <f t="shared" si="4"/>
        <v>11503.270634201681</v>
      </c>
      <c r="Z65" s="23">
        <f>IF(settings!$F$13=0,'Teacher Exp'!L65,0)</f>
        <v>0</v>
      </c>
      <c r="AA65" s="23">
        <f t="shared" si="5"/>
        <v>11503.270634201681</v>
      </c>
      <c r="AC65" s="24">
        <f>'Student Enrollment Data'!BU66</f>
        <v>1078</v>
      </c>
      <c r="AD65" s="24">
        <f t="shared" si="6"/>
        <v>1039.4551694677873</v>
      </c>
      <c r="AE65" s="24">
        <f>AD65*'Front page'!$B$16</f>
        <v>20.789103389355745</v>
      </c>
      <c r="AG65" s="6">
        <f>M65*'Front page'!$E$3</f>
        <v>51034303.676225215</v>
      </c>
      <c r="AH65" s="6">
        <f>N65*'Front page'!$E$3</f>
        <v>1423817.8327289529</v>
      </c>
      <c r="AI65" s="6">
        <f>O65*'Front page'!$E$3</f>
        <v>1596575.929860313</v>
      </c>
      <c r="AJ65" s="6">
        <f>P65*'Front page'!$E$3</f>
        <v>519448.02311283874</v>
      </c>
      <c r="AK65" s="6">
        <f>Q65*'Front page'!$E$3</f>
        <v>1766025.0842503603</v>
      </c>
      <c r="AL65" s="6">
        <f>S65*'Front page'!$E$3</f>
        <v>36822.874984369475</v>
      </c>
      <c r="AM65" s="5">
        <f>Z65*'Front page'!$E$3</f>
        <v>0</v>
      </c>
      <c r="AN65" s="6">
        <f>T65*'Front page'!$E$3</f>
        <v>102068.60735245043</v>
      </c>
      <c r="AO65" s="6">
        <f>U65*'Front page'!$E$3</f>
        <v>0</v>
      </c>
      <c r="AP65" s="6">
        <f>W65*'Front page'!$E$3</f>
        <v>-1262.4985708921574</v>
      </c>
      <c r="AQ65" s="6">
        <f>V65*'Front page'!$E$3</f>
        <v>0</v>
      </c>
      <c r="AR65" s="6">
        <f>X65*'Front page'!$E$3</f>
        <v>0</v>
      </c>
      <c r="AS65" s="6">
        <f t="shared" si="7"/>
        <v>56477799.529943615</v>
      </c>
      <c r="AT65" s="7">
        <f>IF(AS65&gt;'Funding Comparison'!D65*(1+'Front page'!$H$10),'Funding Comparison'!D65*(1+'Front page'!$H$10),AS65)</f>
        <v>1821280.9125000001</v>
      </c>
    </row>
    <row r="66" spans="1:46">
      <c r="A66" t="str">
        <f t="shared" si="0"/>
        <v>272</v>
      </c>
      <c r="B66">
        <f t="shared" si="2"/>
        <v>272</v>
      </c>
      <c r="C66" s="14" t="s">
        <v>74</v>
      </c>
      <c r="D66">
        <f>IF(settings!$G$4=0,'Student Enrollment Data'!AX67,'Student Enrollment Data'!CK67)</f>
        <v>4306.0808823529414</v>
      </c>
      <c r="E66">
        <f>IF(settings!$G$4=0,'Student Enrollment Data'!AY67,'Student Enrollment Data'!CL67)</f>
        <v>1088</v>
      </c>
      <c r="F66">
        <f>IF(settings!$G$4=0,'Student Enrollment Data'!AZ67,'Student Enrollment Data'!CM67)</f>
        <v>1543.5794117647058</v>
      </c>
      <c r="G66" s="23">
        <f>'Student Enrollment Data'!BK67</f>
        <v>422</v>
      </c>
      <c r="H66">
        <f>'Student Enrollment Data'!BF67</f>
        <v>1579</v>
      </c>
      <c r="I66">
        <f>SUM('Student Enrollment Data'!R67:X67,'Student Enrollment Data'!AQ67:AW67)</f>
        <v>158.73304575163397</v>
      </c>
      <c r="J66">
        <f>'Student Enrollment Data'!BS67</f>
        <v>5</v>
      </c>
      <c r="K66">
        <f t="shared" si="3"/>
        <v>430.60808823529419</v>
      </c>
      <c r="M66" s="27">
        <f t="shared" si="8"/>
        <v>4306.0808823529414</v>
      </c>
      <c r="N66" s="27">
        <f>E66*'Front page'!$B$20</f>
        <v>108.80000000000001</v>
      </c>
      <c r="O66" s="27">
        <f>F66*'Front page'!$B$21</f>
        <v>154.3579411764706</v>
      </c>
      <c r="P66">
        <f>G66*'Front page'!$B$18</f>
        <v>42.2</v>
      </c>
      <c r="Q66" s="27">
        <f>IF(settings!$B$4=0,Calculations!H66,Calculations!I66) *'Front page'!$B$11</f>
        <v>157.9</v>
      </c>
      <c r="R66" s="28">
        <f>ROUND(I66*'Front page'!$B$9,2)</f>
        <v>0</v>
      </c>
      <c r="S66" s="27">
        <f>J66*'Front page'!$B$14</f>
        <v>0.5</v>
      </c>
      <c r="T66" s="81">
        <f>'Front page'!$B$16*Calculations!K66</f>
        <v>8.6121617647058848</v>
      </c>
      <c r="U66" s="81">
        <f>IF(settings!$B$13=0,(Calculations!M66*'Economic Adjustment'!O65)-Calculations!M66,0)</f>
        <v>0</v>
      </c>
      <c r="V66" s="154">
        <f>VLOOKUP(B66,'Remote School Building Weight'!$M$2:$P$174,3,FALSE)</f>
        <v>0</v>
      </c>
      <c r="W66" s="23">
        <f>'Small Dist Weight'!V65-Calculations!D66</f>
        <v>0</v>
      </c>
      <c r="X66" s="23">
        <f>IF(settings!$P$9=0,'Large District Weight'!H65*'Large District Weight'!G65,0)</f>
        <v>0</v>
      </c>
      <c r="Y66" s="23">
        <f t="shared" si="4"/>
        <v>4778.4509852941173</v>
      </c>
      <c r="Z66" s="23">
        <f>IF(settings!$F$13=0,'Teacher Exp'!L66,0)</f>
        <v>0</v>
      </c>
      <c r="AA66" s="23">
        <f t="shared" si="5"/>
        <v>4778.4509852941173</v>
      </c>
      <c r="AC66" s="24">
        <f>'Student Enrollment Data'!BU67</f>
        <v>135</v>
      </c>
      <c r="AD66" s="24">
        <f t="shared" si="6"/>
        <v>430.60808823529419</v>
      </c>
      <c r="AE66" s="24">
        <f>AD66*'Front page'!$B$16</f>
        <v>8.6121617647058848</v>
      </c>
      <c r="AG66" s="6">
        <f>M66*'Front page'!$E$3</f>
        <v>21141637.067128766</v>
      </c>
      <c r="AH66" s="6">
        <f>N66*'Front page'!$E$3</f>
        <v>534177.17310658656</v>
      </c>
      <c r="AI66" s="6">
        <f>O66*'Front page'!$E$3</f>
        <v>757853.75610477792</v>
      </c>
      <c r="AJ66" s="6">
        <f>P66*'Front page'!$E$3</f>
        <v>207190.04324538558</v>
      </c>
      <c r="AK66" s="6">
        <f>Q66*'Front page'!$E$3</f>
        <v>775244.26133759203</v>
      </c>
      <c r="AL66" s="6">
        <f>S66*'Front page'!$E$3</f>
        <v>2454.8583322912982</v>
      </c>
      <c r="AM66" s="5">
        <f>Z66*'Front page'!$E$3</f>
        <v>0</v>
      </c>
      <c r="AN66" s="6">
        <f>T66*'Front page'!$E$3</f>
        <v>42283.274134257546</v>
      </c>
      <c r="AO66" s="6">
        <f>U66*'Front page'!$E$3</f>
        <v>0</v>
      </c>
      <c r="AP66" s="6">
        <f>W66*'Front page'!$E$3</f>
        <v>0</v>
      </c>
      <c r="AQ66" s="6">
        <f>V66*'Front page'!$E$3</f>
        <v>0</v>
      </c>
      <c r="AR66" s="6">
        <f>X66*'Front page'!$E$3</f>
        <v>0</v>
      </c>
      <c r="AS66" s="6">
        <f t="shared" si="7"/>
        <v>23460840.433389656</v>
      </c>
      <c r="AT66" s="7">
        <f>IF(AS66&gt;'Funding Comparison'!D66*(1+'Front page'!$H$10),'Funding Comparison'!D66*(1+'Front page'!$H$10),AS66)</f>
        <v>1801086.987</v>
      </c>
    </row>
    <row r="67" spans="1:46">
      <c r="A67" t="str">
        <f t="shared" ref="A67:A130" si="9">RIGHT(C67,3)</f>
        <v>273</v>
      </c>
      <c r="B67">
        <f t="shared" si="2"/>
        <v>273</v>
      </c>
      <c r="C67" s="14" t="s">
        <v>75</v>
      </c>
      <c r="D67">
        <f>IF(settings!$G$4=0,'Student Enrollment Data'!AX68,'Student Enrollment Data'!CK68)</f>
        <v>5814.4031960784314</v>
      </c>
      <c r="E67">
        <f>IF(settings!$G$4=0,'Student Enrollment Data'!AY68,'Student Enrollment Data'!CL68)</f>
        <v>1645.5</v>
      </c>
      <c r="F67">
        <f>IF(settings!$G$4=0,'Student Enrollment Data'!AZ68,'Student Enrollment Data'!CM68)</f>
        <v>1762.5420980392157</v>
      </c>
      <c r="G67" s="23">
        <f>'Student Enrollment Data'!BK68</f>
        <v>621</v>
      </c>
      <c r="H67">
        <f>'Student Enrollment Data'!BF68</f>
        <v>2256</v>
      </c>
      <c r="I67">
        <f>SUM('Student Enrollment Data'!R68:X68,'Student Enrollment Data'!AQ68:AW68)</f>
        <v>252.43248925800478</v>
      </c>
      <c r="J67">
        <f>'Student Enrollment Data'!BS68</f>
        <v>45</v>
      </c>
      <c r="K67">
        <f t="shared" si="3"/>
        <v>581.44031960784321</v>
      </c>
      <c r="M67" s="27">
        <f t="shared" ref="M67:M98" si="10">MAX(D67,30)</f>
        <v>5814.4031960784314</v>
      </c>
      <c r="N67" s="27">
        <f>E67*'Front page'!$B$20</f>
        <v>164.55</v>
      </c>
      <c r="O67" s="27">
        <f>F67*'Front page'!$B$21</f>
        <v>176.25420980392158</v>
      </c>
      <c r="P67">
        <f>G67*'Front page'!$B$18</f>
        <v>62.1</v>
      </c>
      <c r="Q67" s="27">
        <f>IF(settings!$B$4=0,Calculations!H67,Calculations!I67) *'Front page'!$B$11</f>
        <v>225.60000000000002</v>
      </c>
      <c r="R67" s="28">
        <f>ROUND(I67*'Front page'!$B$9,2)</f>
        <v>0</v>
      </c>
      <c r="S67" s="27">
        <f>J67*'Front page'!$B$14</f>
        <v>4.5</v>
      </c>
      <c r="T67" s="81">
        <f>'Front page'!$B$16*Calculations!K67</f>
        <v>11.628806392156864</v>
      </c>
      <c r="U67" s="81">
        <f>IF(settings!$B$13=0,(Calculations!M67*'Economic Adjustment'!O66)-Calculations!M67,0)</f>
        <v>0</v>
      </c>
      <c r="V67" s="154">
        <f>VLOOKUP(B67,'Remote School Building Weight'!$M$2:$P$174,3,FALSE)</f>
        <v>0</v>
      </c>
      <c r="W67" s="23">
        <f>'Small Dist Weight'!V66-Calculations!D67</f>
        <v>0</v>
      </c>
      <c r="X67" s="23">
        <f>IF(settings!$P$9=0,'Large District Weight'!H66*'Large District Weight'!G66,0)</f>
        <v>0</v>
      </c>
      <c r="Y67" s="23">
        <f t="shared" si="4"/>
        <v>6459.03621227451</v>
      </c>
      <c r="Z67" s="23">
        <f>IF(settings!$F$13=0,'Teacher Exp'!L67,0)</f>
        <v>0</v>
      </c>
      <c r="AA67" s="23">
        <f t="shared" si="5"/>
        <v>6459.03621227451</v>
      </c>
      <c r="AC67" s="24">
        <f>'Student Enrollment Data'!BU68</f>
        <v>426</v>
      </c>
      <c r="AD67" s="24">
        <f t="shared" si="6"/>
        <v>581.44031960784321</v>
      </c>
      <c r="AE67" s="24">
        <f>AD67*'Front page'!$B$16</f>
        <v>11.628806392156864</v>
      </c>
      <c r="AG67" s="6">
        <f>M67*'Front page'!$E$3</f>
        <v>28547072.266388584</v>
      </c>
      <c r="AH67" s="6">
        <f>N67*'Front page'!$E$3</f>
        <v>807893.87715706625</v>
      </c>
      <c r="AI67" s="6">
        <f>O67*'Front page'!$E$3</f>
        <v>865358.23107715102</v>
      </c>
      <c r="AJ67" s="6">
        <f>P67*'Front page'!$E$3</f>
        <v>304893.40487057925</v>
      </c>
      <c r="AK67" s="6">
        <f>Q67*'Front page'!$E$3</f>
        <v>1107632.079529834</v>
      </c>
      <c r="AL67" s="6">
        <f>S67*'Front page'!$E$3</f>
        <v>22093.724990621682</v>
      </c>
      <c r="AM67" s="5">
        <f>Z67*'Front page'!$E$3</f>
        <v>0</v>
      </c>
      <c r="AN67" s="6">
        <f>T67*'Front page'!$E$3</f>
        <v>57094.14453277718</v>
      </c>
      <c r="AO67" s="6">
        <f>U67*'Front page'!$E$3</f>
        <v>0</v>
      </c>
      <c r="AP67" s="6">
        <f>W67*'Front page'!$E$3</f>
        <v>0</v>
      </c>
      <c r="AQ67" s="6">
        <f>V67*'Front page'!$E$3</f>
        <v>0</v>
      </c>
      <c r="AR67" s="6">
        <f>X67*'Front page'!$E$3</f>
        <v>0</v>
      </c>
      <c r="AS67" s="6">
        <f t="shared" si="7"/>
        <v>31712037.728546612</v>
      </c>
      <c r="AT67" s="7">
        <f>IF(AS67&gt;'Funding Comparison'!D67*(1+'Front page'!$H$10),'Funding Comparison'!D67*(1+'Front page'!$H$10),AS67)</f>
        <v>1926893.5875000001</v>
      </c>
    </row>
    <row r="68" spans="1:46">
      <c r="A68" t="str">
        <f t="shared" si="9"/>
        <v>274</v>
      </c>
      <c r="B68">
        <f t="shared" ref="B68:B131" si="11">A68*1</f>
        <v>274</v>
      </c>
      <c r="C68" s="14" t="s">
        <v>76</v>
      </c>
      <c r="D68">
        <f>IF(settings!$G$4=0,'Student Enrollment Data'!AX69,'Student Enrollment Data'!CK69)</f>
        <v>135.5</v>
      </c>
      <c r="E68">
        <f>IF(settings!$G$4=0,'Student Enrollment Data'!AY69,'Student Enrollment Data'!CL69)</f>
        <v>35.5</v>
      </c>
      <c r="F68">
        <f>IF(settings!$G$4=0,'Student Enrollment Data'!AZ69,'Student Enrollment Data'!CM69)</f>
        <v>54</v>
      </c>
      <c r="G68" s="23">
        <f>'Student Enrollment Data'!BK69</f>
        <v>23</v>
      </c>
      <c r="H68">
        <f>'Student Enrollment Data'!BF69</f>
        <v>69</v>
      </c>
      <c r="I68">
        <f>SUM('Student Enrollment Data'!R69:X69,'Student Enrollment Data'!AQ69:AW69)</f>
        <v>0</v>
      </c>
      <c r="J68">
        <f>'Student Enrollment Data'!BS69</f>
        <v>0</v>
      </c>
      <c r="K68">
        <f t="shared" ref="K68:K131" si="12">M68*0.1</f>
        <v>13.55</v>
      </c>
      <c r="M68" s="27">
        <f t="shared" si="10"/>
        <v>135.5</v>
      </c>
      <c r="N68" s="27">
        <f>E68*'Front page'!$B$20</f>
        <v>3.5500000000000003</v>
      </c>
      <c r="O68" s="27">
        <f>F68*'Front page'!$B$21</f>
        <v>5.4</v>
      </c>
      <c r="P68">
        <f>G68*'Front page'!$B$18</f>
        <v>2.3000000000000003</v>
      </c>
      <c r="Q68" s="27">
        <f>IF(settings!$B$4=0,Calculations!H68,Calculations!I68) *'Front page'!$B$11</f>
        <v>6.9</v>
      </c>
      <c r="R68" s="28">
        <f>ROUND(I68*'Front page'!$B$9,2)</f>
        <v>0</v>
      </c>
      <c r="S68" s="27">
        <f>J68*'Front page'!$B$14</f>
        <v>0</v>
      </c>
      <c r="T68" s="81">
        <f>'Front page'!$B$16*Calculations!K68</f>
        <v>0.27100000000000002</v>
      </c>
      <c r="U68" s="81">
        <f>IF(settings!$B$13=0,(Calculations!M68*'Economic Adjustment'!O67)-Calculations!M68,0)</f>
        <v>0</v>
      </c>
      <c r="V68" s="154">
        <f>VLOOKUP(B68,'Remote School Building Weight'!$M$2:$P$174,3,FALSE)</f>
        <v>0</v>
      </c>
      <c r="W68" s="23">
        <f>'Small Dist Weight'!V67-Calculations!D68</f>
        <v>168.02581308777428</v>
      </c>
      <c r="X68" s="23">
        <f>IF(settings!$P$9=0,'Large District Weight'!H67*'Large District Weight'!G67,0)</f>
        <v>0</v>
      </c>
      <c r="Y68" s="23">
        <f t="shared" ref="Y68:Y131" si="13">SUM(M68:X68)</f>
        <v>321.94681308777433</v>
      </c>
      <c r="Z68" s="23">
        <f>IF(settings!$F$13=0,'Teacher Exp'!L68,0)</f>
        <v>0</v>
      </c>
      <c r="AA68" s="23">
        <f t="shared" ref="AA68:AA131" si="14">Y68+Z68</f>
        <v>321.94681308777433</v>
      </c>
      <c r="AC68" s="24">
        <f>'Student Enrollment Data'!BU69</f>
        <v>0</v>
      </c>
      <c r="AD68" s="24">
        <f t="shared" ref="AD68:AD131" si="15">M68*0.1</f>
        <v>13.55</v>
      </c>
      <c r="AE68" s="24">
        <f>AD68*'Front page'!$B$16</f>
        <v>0.27100000000000002</v>
      </c>
      <c r="AG68" s="6">
        <f>M68*'Front page'!$E$3</f>
        <v>665266.60805094184</v>
      </c>
      <c r="AH68" s="6">
        <f>N68*'Front page'!$E$3</f>
        <v>17429.494159268219</v>
      </c>
      <c r="AI68" s="6">
        <f>O68*'Front page'!$E$3</f>
        <v>26512.469988746023</v>
      </c>
      <c r="AJ68" s="6">
        <f>P68*'Front page'!$E$3</f>
        <v>11292.348328539972</v>
      </c>
      <c r="AK68" s="6">
        <f>Q68*'Front page'!$E$3</f>
        <v>33877.044985619919</v>
      </c>
      <c r="AL68" s="6">
        <f>S68*'Front page'!$E$3</f>
        <v>0</v>
      </c>
      <c r="AM68" s="5">
        <f>Z68*'Front page'!$E$3</f>
        <v>0</v>
      </c>
      <c r="AN68" s="6">
        <f>T68*'Front page'!$E$3</f>
        <v>1330.5332161018837</v>
      </c>
      <c r="AO68" s="6">
        <f>U68*'Front page'!$E$3</f>
        <v>0</v>
      </c>
      <c r="AP68" s="6">
        <f>W68*'Front page'!$E$3</f>
        <v>824959.13459708588</v>
      </c>
      <c r="AQ68" s="6">
        <f>V68*'Front page'!$E$3</f>
        <v>0</v>
      </c>
      <c r="AR68" s="6">
        <f>X68*'Front page'!$E$3</f>
        <v>0</v>
      </c>
      <c r="AS68" s="6">
        <f t="shared" ref="AS68:AS131" si="16">SUM(AG68:AR68)</f>
        <v>1580667.6333263037</v>
      </c>
      <c r="AT68" s="7">
        <f>IF(AS68&gt;'Funding Comparison'!D68*(1+'Front page'!$H$10),'Funding Comparison'!D68*(1+'Front page'!$H$10),AS68)</f>
        <v>1580667.6333263037</v>
      </c>
    </row>
    <row r="69" spans="1:46">
      <c r="A69" t="str">
        <f t="shared" si="9"/>
        <v>281</v>
      </c>
      <c r="B69">
        <f t="shared" si="11"/>
        <v>281</v>
      </c>
      <c r="C69" s="14" t="s">
        <v>77</v>
      </c>
      <c r="D69">
        <f>IF(settings!$G$4=0,'Student Enrollment Data'!AX70,'Student Enrollment Data'!CK70)</f>
        <v>2245</v>
      </c>
      <c r="E69">
        <f>IF(settings!$G$4=0,'Student Enrollment Data'!AY70,'Student Enrollment Data'!CL70)</f>
        <v>570</v>
      </c>
      <c r="F69">
        <f>IF(settings!$G$4=0,'Student Enrollment Data'!AZ70,'Student Enrollment Data'!CM70)</f>
        <v>790</v>
      </c>
      <c r="G69" s="23">
        <f>'Student Enrollment Data'!BK70</f>
        <v>267</v>
      </c>
      <c r="H69">
        <f>'Student Enrollment Data'!BF70</f>
        <v>702</v>
      </c>
      <c r="I69">
        <f>SUM('Student Enrollment Data'!R70:X70,'Student Enrollment Data'!AQ70:AW70)</f>
        <v>16.12064767441861</v>
      </c>
      <c r="J69">
        <f>'Student Enrollment Data'!BS70</f>
        <v>76</v>
      </c>
      <c r="K69">
        <f t="shared" si="12"/>
        <v>224.5</v>
      </c>
      <c r="M69" s="27">
        <f t="shared" si="10"/>
        <v>2245</v>
      </c>
      <c r="N69" s="27">
        <f>E69*'Front page'!$B$20</f>
        <v>57</v>
      </c>
      <c r="O69" s="27">
        <f>F69*'Front page'!$B$21</f>
        <v>79</v>
      </c>
      <c r="P69">
        <f>G69*'Front page'!$B$18</f>
        <v>26.700000000000003</v>
      </c>
      <c r="Q69" s="27">
        <f>IF(settings!$B$4=0,Calculations!H69,Calculations!I69) *'Front page'!$B$11</f>
        <v>70.2</v>
      </c>
      <c r="R69" s="28">
        <f>ROUND(I69*'Front page'!$B$9,2)</f>
        <v>0</v>
      </c>
      <c r="S69" s="27">
        <f>J69*'Front page'!$B$14</f>
        <v>7.6000000000000005</v>
      </c>
      <c r="T69" s="81">
        <f>'Front page'!$B$16*Calculations!K69</f>
        <v>4.49</v>
      </c>
      <c r="U69" s="81">
        <f>IF(settings!$B$13=0,(Calculations!M69*'Economic Adjustment'!O68)-Calculations!M69,0)</f>
        <v>0</v>
      </c>
      <c r="V69" s="154">
        <f>VLOOKUP(B69,'Remote School Building Weight'!$M$2:$P$174,3,FALSE)</f>
        <v>0</v>
      </c>
      <c r="W69" s="23">
        <f>'Small Dist Weight'!V68-Calculations!D69</f>
        <v>0</v>
      </c>
      <c r="X69" s="23">
        <f>IF(settings!$P$9=0,'Large District Weight'!H68*'Large District Weight'!G68,0)</f>
        <v>0</v>
      </c>
      <c r="Y69" s="23">
        <f t="shared" si="13"/>
        <v>2489.9899999999993</v>
      </c>
      <c r="Z69" s="23">
        <f>IF(settings!$F$13=0,'Teacher Exp'!L69,0)</f>
        <v>0</v>
      </c>
      <c r="AA69" s="23">
        <f t="shared" si="14"/>
        <v>2489.9899999999993</v>
      </c>
      <c r="AC69" s="24">
        <f>'Student Enrollment Data'!BU70</f>
        <v>155</v>
      </c>
      <c r="AD69" s="24">
        <f t="shared" si="15"/>
        <v>224.5</v>
      </c>
      <c r="AE69" s="24">
        <f>AD69*'Front page'!$B$16</f>
        <v>4.49</v>
      </c>
      <c r="AG69" s="6">
        <f>M69*'Front page'!$E$3</f>
        <v>11022313.911987929</v>
      </c>
      <c r="AH69" s="6">
        <f>N69*'Front page'!$E$3</f>
        <v>279853.84988120798</v>
      </c>
      <c r="AI69" s="6">
        <f>O69*'Front page'!$E$3</f>
        <v>387867.61650202511</v>
      </c>
      <c r="AJ69" s="6">
        <f>P69*'Front page'!$E$3</f>
        <v>131089.43494435534</v>
      </c>
      <c r="AK69" s="6">
        <f>Q69*'Front page'!$E$3</f>
        <v>344662.10985369829</v>
      </c>
      <c r="AL69" s="6">
        <f>S69*'Front page'!$E$3</f>
        <v>37313.846650827734</v>
      </c>
      <c r="AM69" s="5">
        <f>Z69*'Front page'!$E$3</f>
        <v>0</v>
      </c>
      <c r="AN69" s="6">
        <f>T69*'Front page'!$E$3</f>
        <v>22044.627823975858</v>
      </c>
      <c r="AO69" s="6">
        <f>U69*'Front page'!$E$3</f>
        <v>0</v>
      </c>
      <c r="AP69" s="6">
        <f>W69*'Front page'!$E$3</f>
        <v>0</v>
      </c>
      <c r="AQ69" s="6">
        <f>V69*'Front page'!$E$3</f>
        <v>0</v>
      </c>
      <c r="AR69" s="6">
        <f>X69*'Front page'!$E$3</f>
        <v>0</v>
      </c>
      <c r="AS69" s="6">
        <f t="shared" si="16"/>
        <v>12225145.397644017</v>
      </c>
      <c r="AT69" s="7">
        <f>IF(AS69&gt;'Funding Comparison'!D69*(1+'Front page'!$H$10),'Funding Comparison'!D69*(1+'Front page'!$H$10),AS69)</f>
        <v>2033778.4845000003</v>
      </c>
    </row>
    <row r="70" spans="1:46">
      <c r="A70" t="str">
        <f t="shared" si="9"/>
        <v>282</v>
      </c>
      <c r="B70">
        <f t="shared" si="11"/>
        <v>282</v>
      </c>
      <c r="C70" s="14" t="s">
        <v>78</v>
      </c>
      <c r="D70">
        <f>IF(settings!$G$4=0,'Student Enrollment Data'!AX71,'Student Enrollment Data'!CK71)</f>
        <v>282</v>
      </c>
      <c r="E70">
        <f>IF(settings!$G$4=0,'Student Enrollment Data'!AY71,'Student Enrollment Data'!CL71)</f>
        <v>79</v>
      </c>
      <c r="F70">
        <f>IF(settings!$G$4=0,'Student Enrollment Data'!AZ71,'Student Enrollment Data'!CM71)</f>
        <v>103</v>
      </c>
      <c r="G70" s="23">
        <f>'Student Enrollment Data'!BK71</f>
        <v>28</v>
      </c>
      <c r="H70">
        <f>'Student Enrollment Data'!BF71</f>
        <v>57</v>
      </c>
      <c r="I70">
        <f>SUM('Student Enrollment Data'!R71:X71,'Student Enrollment Data'!AQ71:AW71)</f>
        <v>0</v>
      </c>
      <c r="J70">
        <f>'Student Enrollment Data'!BS71</f>
        <v>0</v>
      </c>
      <c r="K70">
        <f t="shared" si="12"/>
        <v>28.200000000000003</v>
      </c>
      <c r="M70" s="27">
        <f t="shared" si="10"/>
        <v>282</v>
      </c>
      <c r="N70" s="27">
        <f>E70*'Front page'!$B$20</f>
        <v>7.9</v>
      </c>
      <c r="O70" s="27">
        <f>F70*'Front page'!$B$21</f>
        <v>10.3</v>
      </c>
      <c r="P70">
        <f>G70*'Front page'!$B$18</f>
        <v>2.8000000000000003</v>
      </c>
      <c r="Q70" s="27">
        <f>IF(settings!$B$4=0,Calculations!H70,Calculations!I70) *'Front page'!$B$11</f>
        <v>5.7</v>
      </c>
      <c r="R70" s="28">
        <f>ROUND(I70*'Front page'!$B$9,2)</f>
        <v>0</v>
      </c>
      <c r="S70" s="27">
        <f>J70*'Front page'!$B$14</f>
        <v>0</v>
      </c>
      <c r="T70" s="81">
        <f>'Front page'!$B$16*Calculations!K70</f>
        <v>0.56400000000000006</v>
      </c>
      <c r="U70" s="81">
        <f>IF(settings!$B$13=0,(Calculations!M70*'Economic Adjustment'!O69)-Calculations!M70,0)</f>
        <v>0</v>
      </c>
      <c r="V70" s="154">
        <f>VLOOKUP(B70,'Remote School Building Weight'!$M$2:$P$174,3,FALSE)</f>
        <v>0</v>
      </c>
      <c r="W70" s="23">
        <f>'Small Dist Weight'!V69-Calculations!D70</f>
        <v>169.99730407523509</v>
      </c>
      <c r="X70" s="23">
        <f>IF(settings!$P$9=0,'Large District Weight'!H69*'Large District Weight'!G69,0)</f>
        <v>0</v>
      </c>
      <c r="Y70" s="23">
        <f t="shared" si="13"/>
        <v>479.2613040752351</v>
      </c>
      <c r="Z70" s="23">
        <f>IF(settings!$F$13=0,'Teacher Exp'!L70,0)</f>
        <v>0</v>
      </c>
      <c r="AA70" s="23">
        <f t="shared" si="14"/>
        <v>479.2613040752351</v>
      </c>
      <c r="AC70" s="24">
        <f>'Student Enrollment Data'!BU71</f>
        <v>13</v>
      </c>
      <c r="AD70" s="24">
        <f t="shared" si="15"/>
        <v>28.200000000000003</v>
      </c>
      <c r="AE70" s="24">
        <f>AD70*'Front page'!$B$16</f>
        <v>0.56400000000000006</v>
      </c>
      <c r="AG70" s="6">
        <f>M70*'Front page'!$E$3</f>
        <v>1384540.0994122922</v>
      </c>
      <c r="AH70" s="6">
        <f>N70*'Front page'!$E$3</f>
        <v>38786.761650202512</v>
      </c>
      <c r="AI70" s="6">
        <f>O70*'Front page'!$E$3</f>
        <v>50570.081645200749</v>
      </c>
      <c r="AJ70" s="6">
        <f>P70*'Front page'!$E$3</f>
        <v>13747.206660831271</v>
      </c>
      <c r="AK70" s="6">
        <f>Q70*'Front page'!$E$3</f>
        <v>27985.384988120801</v>
      </c>
      <c r="AL70" s="6">
        <f>S70*'Front page'!$E$3</f>
        <v>0</v>
      </c>
      <c r="AM70" s="5">
        <f>Z70*'Front page'!$E$3</f>
        <v>0</v>
      </c>
      <c r="AN70" s="6">
        <f>T70*'Front page'!$E$3</f>
        <v>2769.0801988245848</v>
      </c>
      <c r="AO70" s="6">
        <f>U70*'Front page'!$E$3</f>
        <v>0</v>
      </c>
      <c r="AP70" s="6">
        <f>W70*'Front page'!$E$3</f>
        <v>834638.59675229667</v>
      </c>
      <c r="AQ70" s="6">
        <f>V70*'Front page'!$E$3</f>
        <v>0</v>
      </c>
      <c r="AR70" s="6">
        <f>X70*'Front page'!$E$3</f>
        <v>0</v>
      </c>
      <c r="AS70" s="6">
        <f t="shared" si="16"/>
        <v>2353037.2113077687</v>
      </c>
      <c r="AT70" s="7">
        <f>IF(AS70&gt;'Funding Comparison'!D70*(1+'Front page'!$H$10),'Funding Comparison'!D70*(1+'Front page'!$H$10),AS70)</f>
        <v>2051367.8115000001</v>
      </c>
    </row>
    <row r="71" spans="1:46">
      <c r="A71" t="str">
        <f t="shared" si="9"/>
        <v>283</v>
      </c>
      <c r="B71">
        <f t="shared" si="11"/>
        <v>283</v>
      </c>
      <c r="C71" s="14" t="s">
        <v>79</v>
      </c>
      <c r="D71">
        <f>IF(settings!$G$4=0,'Student Enrollment Data'!AX72,'Student Enrollment Data'!CK72)</f>
        <v>225</v>
      </c>
      <c r="E71">
        <f>IF(settings!$G$4=0,'Student Enrollment Data'!AY72,'Student Enrollment Data'!CL72)</f>
        <v>62</v>
      </c>
      <c r="F71">
        <f>IF(settings!$G$4=0,'Student Enrollment Data'!AZ72,'Student Enrollment Data'!CM72)</f>
        <v>54</v>
      </c>
      <c r="G71" s="23">
        <f>'Student Enrollment Data'!BK72</f>
        <v>39</v>
      </c>
      <c r="H71">
        <f>'Student Enrollment Data'!BF72</f>
        <v>85</v>
      </c>
      <c r="I71">
        <f>SUM('Student Enrollment Data'!R72:X72,'Student Enrollment Data'!AQ72:AW72)</f>
        <v>0</v>
      </c>
      <c r="J71">
        <f>'Student Enrollment Data'!BS72</f>
        <v>0</v>
      </c>
      <c r="K71">
        <f t="shared" si="12"/>
        <v>22.5</v>
      </c>
      <c r="M71" s="27">
        <f t="shared" si="10"/>
        <v>225</v>
      </c>
      <c r="N71" s="27">
        <f>E71*'Front page'!$B$20</f>
        <v>6.2</v>
      </c>
      <c r="O71" s="27">
        <f>F71*'Front page'!$B$21</f>
        <v>5.4</v>
      </c>
      <c r="P71">
        <f>G71*'Front page'!$B$18</f>
        <v>3.9000000000000004</v>
      </c>
      <c r="Q71" s="27">
        <f>IF(settings!$B$4=0,Calculations!H71,Calculations!I71) *'Front page'!$B$11</f>
        <v>8.5</v>
      </c>
      <c r="R71" s="28">
        <f>ROUND(I71*'Front page'!$B$9,2)</f>
        <v>0</v>
      </c>
      <c r="S71" s="27">
        <f>J71*'Front page'!$B$14</f>
        <v>0</v>
      </c>
      <c r="T71" s="81">
        <f>'Front page'!$B$16*Calculations!K71</f>
        <v>0.45</v>
      </c>
      <c r="U71" s="81">
        <f>IF(settings!$B$13=0,(Calculations!M71*'Economic Adjustment'!O70)-Calculations!M71,0)</f>
        <v>0</v>
      </c>
      <c r="V71" s="154">
        <f>VLOOKUP(B71,'Remote School Building Weight'!$M$2:$P$174,3,FALSE)</f>
        <v>0</v>
      </c>
      <c r="W71" s="23">
        <f>'Small Dist Weight'!V70-Calculations!D71</f>
        <v>146.10018808777431</v>
      </c>
      <c r="X71" s="23">
        <f>IF(settings!$P$9=0,'Large District Weight'!H70*'Large District Weight'!G70,0)</f>
        <v>0</v>
      </c>
      <c r="Y71" s="23">
        <f t="shared" si="13"/>
        <v>395.5501880877743</v>
      </c>
      <c r="Z71" s="23">
        <f>IF(settings!$F$13=0,'Teacher Exp'!L71,0)</f>
        <v>0</v>
      </c>
      <c r="AA71" s="23">
        <f t="shared" si="14"/>
        <v>395.5501880877743</v>
      </c>
      <c r="AC71" s="24">
        <f>'Student Enrollment Data'!BU72</f>
        <v>7</v>
      </c>
      <c r="AD71" s="24">
        <f t="shared" si="15"/>
        <v>22.5</v>
      </c>
      <c r="AE71" s="24">
        <f>AD71*'Front page'!$B$16</f>
        <v>0.45</v>
      </c>
      <c r="AG71" s="6">
        <f>M71*'Front page'!$E$3</f>
        <v>1104686.2495310842</v>
      </c>
      <c r="AH71" s="6">
        <f>N71*'Front page'!$E$3</f>
        <v>30440.243320412097</v>
      </c>
      <c r="AI71" s="6">
        <f>O71*'Front page'!$E$3</f>
        <v>26512.469988746023</v>
      </c>
      <c r="AJ71" s="6">
        <f>P71*'Front page'!$E$3</f>
        <v>19147.894991872126</v>
      </c>
      <c r="AK71" s="6">
        <f>Q71*'Front page'!$E$3</f>
        <v>41732.591648952068</v>
      </c>
      <c r="AL71" s="6">
        <f>S71*'Front page'!$E$3</f>
        <v>0</v>
      </c>
      <c r="AM71" s="5">
        <f>Z71*'Front page'!$E$3</f>
        <v>0</v>
      </c>
      <c r="AN71" s="6">
        <f>T71*'Front page'!$E$3</f>
        <v>2209.3724990621686</v>
      </c>
      <c r="AO71" s="6">
        <f>U71*'Front page'!$E$3</f>
        <v>0</v>
      </c>
      <c r="AP71" s="6">
        <f>W71*'Front page'!$E$3</f>
        <v>717310.52815319726</v>
      </c>
      <c r="AQ71" s="6">
        <f>V71*'Front page'!$E$3</f>
        <v>0</v>
      </c>
      <c r="AR71" s="6">
        <f>X71*'Front page'!$E$3</f>
        <v>0</v>
      </c>
      <c r="AS71" s="6">
        <f t="shared" si="16"/>
        <v>1942039.3501333259</v>
      </c>
      <c r="AT71" s="7">
        <f>IF(AS71&gt;'Funding Comparison'!D71*(1+'Front page'!$H$10),'Funding Comparison'!D71*(1+'Front page'!$H$10),AS71)</f>
        <v>1942039.3501333259</v>
      </c>
    </row>
    <row r="72" spans="1:46">
      <c r="A72" t="str">
        <f t="shared" si="9"/>
        <v>285</v>
      </c>
      <c r="B72">
        <f t="shared" si="11"/>
        <v>285</v>
      </c>
      <c r="C72" s="14" t="s">
        <v>80</v>
      </c>
      <c r="D72">
        <f>IF(settings!$G$4=0,'Student Enrollment Data'!AX73,'Student Enrollment Data'!CK73)</f>
        <v>446.5</v>
      </c>
      <c r="E72">
        <f>IF(settings!$G$4=0,'Student Enrollment Data'!AY73,'Student Enrollment Data'!CL73)</f>
        <v>123.5</v>
      </c>
      <c r="F72">
        <f>IF(settings!$G$4=0,'Student Enrollment Data'!AZ73,'Student Enrollment Data'!CM73)</f>
        <v>139</v>
      </c>
      <c r="G72" s="23">
        <f>'Student Enrollment Data'!BK73</f>
        <v>59</v>
      </c>
      <c r="H72">
        <f>'Student Enrollment Data'!BF73</f>
        <v>147</v>
      </c>
      <c r="I72">
        <f>SUM('Student Enrollment Data'!R73:X73,'Student Enrollment Data'!AQ73:AW73)</f>
        <v>0</v>
      </c>
      <c r="J72">
        <f>'Student Enrollment Data'!BS73</f>
        <v>0</v>
      </c>
      <c r="K72">
        <f t="shared" si="12"/>
        <v>44.650000000000006</v>
      </c>
      <c r="M72" s="27">
        <f t="shared" si="10"/>
        <v>446.5</v>
      </c>
      <c r="N72" s="27">
        <f>E72*'Front page'!$B$20</f>
        <v>12.350000000000001</v>
      </c>
      <c r="O72" s="27">
        <f>F72*'Front page'!$B$21</f>
        <v>13.9</v>
      </c>
      <c r="P72">
        <f>G72*'Front page'!$B$18</f>
        <v>5.9</v>
      </c>
      <c r="Q72" s="27">
        <f>IF(settings!$B$4=0,Calculations!H72,Calculations!I72) *'Front page'!$B$11</f>
        <v>14.700000000000001</v>
      </c>
      <c r="R72" s="28">
        <f>ROUND(I72*'Front page'!$B$9,2)</f>
        <v>0</v>
      </c>
      <c r="S72" s="27">
        <f>J72*'Front page'!$B$14</f>
        <v>0</v>
      </c>
      <c r="T72" s="81">
        <f>'Front page'!$B$16*Calculations!K72</f>
        <v>0.89300000000000013</v>
      </c>
      <c r="U72" s="81">
        <f>IF(settings!$B$13=0,(Calculations!M72*'Economic Adjustment'!O71)-Calculations!M72,0)</f>
        <v>0</v>
      </c>
      <c r="V72" s="154">
        <f>VLOOKUP(B72,'Remote School Building Weight'!$M$2:$P$174,3,FALSE)</f>
        <v>0</v>
      </c>
      <c r="W72" s="23">
        <f>'Small Dist Weight'!V71-Calculations!D72</f>
        <v>178.34391261755491</v>
      </c>
      <c r="X72" s="23">
        <f>IF(settings!$P$9=0,'Large District Weight'!H71*'Large District Weight'!G71,0)</f>
        <v>0</v>
      </c>
      <c r="Y72" s="23">
        <f t="shared" si="13"/>
        <v>672.58691261755484</v>
      </c>
      <c r="Z72" s="23">
        <f>IF(settings!$F$13=0,'Teacher Exp'!L72,0)</f>
        <v>0</v>
      </c>
      <c r="AA72" s="23">
        <f t="shared" si="14"/>
        <v>672.58691261755484</v>
      </c>
      <c r="AC72" s="24">
        <f>'Student Enrollment Data'!BU73</f>
        <v>3</v>
      </c>
      <c r="AD72" s="24">
        <f t="shared" si="15"/>
        <v>44.650000000000006</v>
      </c>
      <c r="AE72" s="24">
        <f>AD72*'Front page'!$B$16</f>
        <v>0.89300000000000013</v>
      </c>
      <c r="AG72" s="6">
        <f>M72*'Front page'!$E$3</f>
        <v>2192188.4907361292</v>
      </c>
      <c r="AH72" s="6">
        <f>N72*'Front page'!$E$3</f>
        <v>60635.000807595075</v>
      </c>
      <c r="AI72" s="6">
        <f>O72*'Front page'!$E$3</f>
        <v>68245.061637698091</v>
      </c>
      <c r="AJ72" s="6">
        <f>P72*'Front page'!$E$3</f>
        <v>28967.328321037319</v>
      </c>
      <c r="AK72" s="6">
        <f>Q72*'Front page'!$E$3</f>
        <v>72172.834969364179</v>
      </c>
      <c r="AL72" s="6">
        <f>S72*'Front page'!$E$3</f>
        <v>0</v>
      </c>
      <c r="AM72" s="5">
        <f>Z72*'Front page'!$E$3</f>
        <v>0</v>
      </c>
      <c r="AN72" s="6">
        <f>T72*'Front page'!$E$3</f>
        <v>4384.3769814722591</v>
      </c>
      <c r="AO72" s="6">
        <f>U72*'Front page'!$E$3</f>
        <v>0</v>
      </c>
      <c r="AP72" s="6">
        <f>W72*'Front page'!$E$3</f>
        <v>875618.0798052717</v>
      </c>
      <c r="AQ72" s="6">
        <f>V72*'Front page'!$E$3</f>
        <v>0</v>
      </c>
      <c r="AR72" s="6">
        <f>X72*'Front page'!$E$3</f>
        <v>0</v>
      </c>
      <c r="AS72" s="6">
        <f t="shared" si="16"/>
        <v>3302211.1732585677</v>
      </c>
      <c r="AT72" s="7">
        <f>IF(AS72&gt;'Funding Comparison'!D72*(1+'Front page'!$H$10),'Funding Comparison'!D72*(1+'Front page'!$H$10),AS72)</f>
        <v>2003005.8405000002</v>
      </c>
    </row>
    <row r="73" spans="1:46">
      <c r="A73" t="str">
        <f t="shared" si="9"/>
        <v>287</v>
      </c>
      <c r="B73">
        <f t="shared" si="11"/>
        <v>287</v>
      </c>
      <c r="C73" s="14" t="s">
        <v>81</v>
      </c>
      <c r="D73">
        <f>IF(settings!$G$4=0,'Student Enrollment Data'!AX74,'Student Enrollment Data'!CK74)</f>
        <v>261.5</v>
      </c>
      <c r="E73">
        <f>IF(settings!$G$4=0,'Student Enrollment Data'!AY74,'Student Enrollment Data'!CL74)</f>
        <v>67.5</v>
      </c>
      <c r="F73">
        <f>IF(settings!$G$4=0,'Student Enrollment Data'!AZ74,'Student Enrollment Data'!CM74)</f>
        <v>87</v>
      </c>
      <c r="G73" s="23">
        <f>'Student Enrollment Data'!BK74</f>
        <v>30</v>
      </c>
      <c r="H73">
        <f>'Student Enrollment Data'!BF74</f>
        <v>73</v>
      </c>
      <c r="I73">
        <f>SUM('Student Enrollment Data'!R74:X74,'Student Enrollment Data'!AQ74:AW74)</f>
        <v>0</v>
      </c>
      <c r="J73">
        <f>'Student Enrollment Data'!BS74</f>
        <v>0</v>
      </c>
      <c r="K73">
        <f t="shared" si="12"/>
        <v>26.150000000000002</v>
      </c>
      <c r="M73" s="27">
        <f t="shared" si="10"/>
        <v>261.5</v>
      </c>
      <c r="N73" s="27">
        <f>E73*'Front page'!$B$20</f>
        <v>6.75</v>
      </c>
      <c r="O73" s="27">
        <f>F73*'Front page'!$B$21</f>
        <v>8.7000000000000011</v>
      </c>
      <c r="P73">
        <f>G73*'Front page'!$B$18</f>
        <v>3</v>
      </c>
      <c r="Q73" s="27">
        <f>IF(settings!$B$4=0,Calculations!H73,Calculations!I73) *'Front page'!$B$11</f>
        <v>7.3000000000000007</v>
      </c>
      <c r="R73" s="28">
        <f>ROUND(I73*'Front page'!$B$9,2)</f>
        <v>0</v>
      </c>
      <c r="S73" s="27">
        <f>J73*'Front page'!$B$14</f>
        <v>0</v>
      </c>
      <c r="T73" s="81">
        <f>'Front page'!$B$16*Calculations!K73</f>
        <v>0.52300000000000002</v>
      </c>
      <c r="U73" s="81">
        <f>IF(settings!$B$13=0,(Calculations!M73*'Economic Adjustment'!O72)-Calculations!M73,0)</f>
        <v>0</v>
      </c>
      <c r="V73" s="154">
        <f>VLOOKUP(B73,'Remote School Building Weight'!$M$2:$P$174,3,FALSE)</f>
        <v>0</v>
      </c>
      <c r="W73" s="23">
        <f>'Small Dist Weight'!V72-Calculations!D73</f>
        <v>162.22693377742951</v>
      </c>
      <c r="X73" s="23">
        <f>IF(settings!$P$9=0,'Large District Weight'!H72*'Large District Weight'!G72,0)</f>
        <v>0</v>
      </c>
      <c r="Y73" s="23">
        <f t="shared" si="13"/>
        <v>449.99993377742953</v>
      </c>
      <c r="Z73" s="23">
        <f>IF(settings!$F$13=0,'Teacher Exp'!L73,0)</f>
        <v>0</v>
      </c>
      <c r="AA73" s="23">
        <f t="shared" si="14"/>
        <v>449.99993377742953</v>
      </c>
      <c r="AC73" s="24">
        <f>'Student Enrollment Data'!BU74</f>
        <v>10</v>
      </c>
      <c r="AD73" s="24">
        <f t="shared" si="15"/>
        <v>26.150000000000002</v>
      </c>
      <c r="AE73" s="24">
        <f>AD73*'Front page'!$B$16</f>
        <v>0.52300000000000002</v>
      </c>
      <c r="AG73" s="6">
        <f>M73*'Front page'!$E$3</f>
        <v>1283890.9077883488</v>
      </c>
      <c r="AH73" s="6">
        <f>N73*'Front page'!$E$3</f>
        <v>33140.587485932527</v>
      </c>
      <c r="AI73" s="6">
        <f>O73*'Front page'!$E$3</f>
        <v>42714.534981868594</v>
      </c>
      <c r="AJ73" s="6">
        <f>P73*'Front page'!$E$3</f>
        <v>14729.149993747789</v>
      </c>
      <c r="AK73" s="6">
        <f>Q73*'Front page'!$E$3</f>
        <v>35840.931651452956</v>
      </c>
      <c r="AL73" s="6">
        <f>S73*'Front page'!$E$3</f>
        <v>0</v>
      </c>
      <c r="AM73" s="5">
        <f>Z73*'Front page'!$E$3</f>
        <v>0</v>
      </c>
      <c r="AN73" s="6">
        <f>T73*'Front page'!$E$3</f>
        <v>2567.7818155766981</v>
      </c>
      <c r="AO73" s="6">
        <f>U73*'Front page'!$E$3</f>
        <v>0</v>
      </c>
      <c r="AP73" s="6">
        <f>W73*'Front page'!$E$3</f>
        <v>796488.28021118301</v>
      </c>
      <c r="AQ73" s="6">
        <f>V73*'Front page'!$E$3</f>
        <v>0</v>
      </c>
      <c r="AR73" s="6">
        <f>X73*'Front page'!$E$3</f>
        <v>0</v>
      </c>
      <c r="AS73" s="6">
        <f t="shared" si="16"/>
        <v>2209372.1739281104</v>
      </c>
      <c r="AT73" s="7">
        <f>IF(AS73&gt;'Funding Comparison'!D73*(1+'Front page'!$H$10),'Funding Comparison'!D73*(1+'Front page'!$H$10),AS73)</f>
        <v>2039650.7040000001</v>
      </c>
    </row>
    <row r="74" spans="1:46">
      <c r="A74" t="str">
        <f t="shared" si="9"/>
        <v>288</v>
      </c>
      <c r="B74">
        <f t="shared" si="11"/>
        <v>288</v>
      </c>
      <c r="C74" s="14" t="s">
        <v>82</v>
      </c>
      <c r="D74">
        <f>IF(settings!$G$4=0,'Student Enrollment Data'!AX75,'Student Enrollment Data'!CK75)</f>
        <v>232.5</v>
      </c>
      <c r="E74">
        <f>IF(settings!$G$4=0,'Student Enrollment Data'!AY75,'Student Enrollment Data'!CL75)</f>
        <v>57.5</v>
      </c>
      <c r="F74">
        <f>IF(settings!$G$4=0,'Student Enrollment Data'!AZ75,'Student Enrollment Data'!CM75)</f>
        <v>73</v>
      </c>
      <c r="G74" s="23">
        <f>'Student Enrollment Data'!BK75</f>
        <v>33</v>
      </c>
      <c r="H74">
        <f>'Student Enrollment Data'!BF75</f>
        <v>119</v>
      </c>
      <c r="I74">
        <f>SUM('Student Enrollment Data'!R75:X75,'Student Enrollment Data'!AQ75:AW75)</f>
        <v>0</v>
      </c>
      <c r="J74">
        <f>'Student Enrollment Data'!BS75</f>
        <v>0</v>
      </c>
      <c r="K74">
        <f t="shared" si="12"/>
        <v>23.25</v>
      </c>
      <c r="M74" s="27">
        <f t="shared" si="10"/>
        <v>232.5</v>
      </c>
      <c r="N74" s="27">
        <f>E74*'Front page'!$B$20</f>
        <v>5.75</v>
      </c>
      <c r="O74" s="27">
        <f>F74*'Front page'!$B$21</f>
        <v>7.3000000000000007</v>
      </c>
      <c r="P74">
        <f>G74*'Front page'!$B$18</f>
        <v>3.3000000000000003</v>
      </c>
      <c r="Q74" s="27">
        <f>IF(settings!$B$4=0,Calculations!H74,Calculations!I74) *'Front page'!$B$11</f>
        <v>11.9</v>
      </c>
      <c r="R74" s="28">
        <f>ROUND(I74*'Front page'!$B$9,2)</f>
        <v>0</v>
      </c>
      <c r="S74" s="27">
        <f>J74*'Front page'!$B$14</f>
        <v>0</v>
      </c>
      <c r="T74" s="81">
        <f>'Front page'!$B$16*Calculations!K74</f>
        <v>0.46500000000000002</v>
      </c>
      <c r="U74" s="81">
        <f>IF(settings!$B$13=0,(Calculations!M74*'Economic Adjustment'!O73)-Calculations!M74,0)</f>
        <v>0</v>
      </c>
      <c r="V74" s="154">
        <f>VLOOKUP(B74,'Remote School Building Weight'!$M$2:$P$174,3,FALSE)</f>
        <v>49.074757147151615</v>
      </c>
      <c r="W74" s="23">
        <f>'Small Dist Weight'!V73-Calculations!D74</f>
        <v>155.67381465517246</v>
      </c>
      <c r="X74" s="23">
        <f>IF(settings!$P$9=0,'Large District Weight'!H73*'Large District Weight'!G73,0)</f>
        <v>0</v>
      </c>
      <c r="Y74" s="23">
        <f t="shared" si="13"/>
        <v>465.96357180232405</v>
      </c>
      <c r="Z74" s="23">
        <f>IF(settings!$F$13=0,'Teacher Exp'!L74,0)</f>
        <v>0</v>
      </c>
      <c r="AA74" s="23">
        <f t="shared" si="14"/>
        <v>465.96357180232405</v>
      </c>
      <c r="AC74" s="24">
        <f>'Student Enrollment Data'!BU75</f>
        <v>8</v>
      </c>
      <c r="AD74" s="24">
        <f t="shared" si="15"/>
        <v>23.25</v>
      </c>
      <c r="AE74" s="24">
        <f>AD74*'Front page'!$B$16</f>
        <v>0.46500000000000002</v>
      </c>
      <c r="AG74" s="6">
        <f>M74*'Front page'!$E$3</f>
        <v>1141509.1245154536</v>
      </c>
      <c r="AH74" s="6">
        <f>N74*'Front page'!$E$3</f>
        <v>28230.87082134993</v>
      </c>
      <c r="AI74" s="6">
        <f>O74*'Front page'!$E$3</f>
        <v>35840.931651452956</v>
      </c>
      <c r="AJ74" s="6">
        <f>P74*'Front page'!$E$3</f>
        <v>16202.064993122569</v>
      </c>
      <c r="AK74" s="6">
        <f>Q74*'Front page'!$E$3</f>
        <v>58425.628308532898</v>
      </c>
      <c r="AL74" s="6">
        <f>S74*'Front page'!$E$3</f>
        <v>0</v>
      </c>
      <c r="AM74" s="5">
        <f>Z74*'Front page'!$E$3</f>
        <v>0</v>
      </c>
      <c r="AN74" s="6">
        <f>T74*'Front page'!$E$3</f>
        <v>2283.0182490309076</v>
      </c>
      <c r="AO74" s="6">
        <f>U74*'Front page'!$E$3</f>
        <v>0</v>
      </c>
      <c r="AP74" s="6">
        <f>W74*'Front page'!$E$3</f>
        <v>764314.3220516427</v>
      </c>
      <c r="AQ74" s="6">
        <f>V74*'Front page'!$E$3</f>
        <v>240943.15297571415</v>
      </c>
      <c r="AR74" s="6">
        <f>X74*'Front page'!$E$3</f>
        <v>0</v>
      </c>
      <c r="AS74" s="6">
        <f t="shared" si="16"/>
        <v>2287749.1135662999</v>
      </c>
      <c r="AT74" s="7">
        <f>IF(AS74&gt;'Funding Comparison'!D74*(1+'Front page'!$H$10),'Funding Comparison'!D74*(1+'Front page'!$H$10),AS74)</f>
        <v>2058674.058</v>
      </c>
    </row>
    <row r="75" spans="1:46">
      <c r="A75" t="str">
        <f t="shared" si="9"/>
        <v>291</v>
      </c>
      <c r="B75">
        <f t="shared" si="11"/>
        <v>291</v>
      </c>
      <c r="C75" s="14" t="s">
        <v>83</v>
      </c>
      <c r="D75">
        <f>IF(settings!$G$4=0,'Student Enrollment Data'!AX76,'Student Enrollment Data'!CK76)</f>
        <v>751.5</v>
      </c>
      <c r="E75">
        <f>IF(settings!$G$4=0,'Student Enrollment Data'!AY76,'Student Enrollment Data'!CL76)</f>
        <v>195.5</v>
      </c>
      <c r="F75">
        <f>IF(settings!$G$4=0,'Student Enrollment Data'!AZ76,'Student Enrollment Data'!CM76)</f>
        <v>277</v>
      </c>
      <c r="G75" s="23">
        <f>'Student Enrollment Data'!BK76</f>
        <v>106</v>
      </c>
      <c r="H75">
        <f>'Student Enrollment Data'!BF76</f>
        <v>424</v>
      </c>
      <c r="I75">
        <f>SUM('Student Enrollment Data'!R76:X76,'Student Enrollment Data'!AQ76:AW76)</f>
        <v>5.9693278606271836</v>
      </c>
      <c r="J75">
        <f>'Student Enrollment Data'!BS76</f>
        <v>62.144396222798392</v>
      </c>
      <c r="K75">
        <f t="shared" si="12"/>
        <v>75.150000000000006</v>
      </c>
      <c r="M75" s="27">
        <f t="shared" si="10"/>
        <v>751.5</v>
      </c>
      <c r="N75" s="27">
        <f>E75*'Front page'!$B$20</f>
        <v>19.55</v>
      </c>
      <c r="O75" s="27">
        <f>F75*'Front page'!$B$21</f>
        <v>27.700000000000003</v>
      </c>
      <c r="P75">
        <f>G75*'Front page'!$B$18</f>
        <v>10.600000000000001</v>
      </c>
      <c r="Q75" s="27">
        <f>IF(settings!$B$4=0,Calculations!H75,Calculations!I75) *'Front page'!$B$11</f>
        <v>42.400000000000006</v>
      </c>
      <c r="R75" s="28">
        <f>ROUND(I75*'Front page'!$B$9,2)</f>
        <v>0</v>
      </c>
      <c r="S75" s="27">
        <f>J75*'Front page'!$B$14</f>
        <v>6.2144396222798397</v>
      </c>
      <c r="T75" s="81">
        <f>'Front page'!$B$16*Calculations!K75</f>
        <v>1.5030000000000001</v>
      </c>
      <c r="U75" s="81">
        <f>IF(settings!$B$13=0,(Calculations!M75*'Economic Adjustment'!O74)-Calculations!M75,0)</f>
        <v>0</v>
      </c>
      <c r="V75" s="154">
        <f>VLOOKUP(B75,'Remote School Building Weight'!$M$2:$P$174,3,FALSE)</f>
        <v>0</v>
      </c>
      <c r="W75" s="23">
        <f>'Small Dist Weight'!V74-Calculations!D75</f>
        <v>131.90896551724143</v>
      </c>
      <c r="X75" s="23">
        <f>IF(settings!$P$9=0,'Large District Weight'!H74*'Large District Weight'!G74,0)</f>
        <v>0</v>
      </c>
      <c r="Y75" s="23">
        <f t="shared" si="13"/>
        <v>991.37640513952135</v>
      </c>
      <c r="Z75" s="23">
        <f>IF(settings!$F$13=0,'Teacher Exp'!L75,0)</f>
        <v>0</v>
      </c>
      <c r="AA75" s="23">
        <f t="shared" si="14"/>
        <v>991.37640513952135</v>
      </c>
      <c r="AC75" s="24">
        <f>'Student Enrollment Data'!BU76</f>
        <v>30</v>
      </c>
      <c r="AD75" s="24">
        <f t="shared" si="15"/>
        <v>75.150000000000006</v>
      </c>
      <c r="AE75" s="24">
        <f>AD75*'Front page'!$B$16</f>
        <v>1.5030000000000001</v>
      </c>
      <c r="AG75" s="6">
        <f>M75*'Front page'!$E$3</f>
        <v>3689652.0734338211</v>
      </c>
      <c r="AH75" s="6">
        <f>N75*'Front page'!$E$3</f>
        <v>95984.960792589758</v>
      </c>
      <c r="AI75" s="6">
        <f>O75*'Front page'!$E$3</f>
        <v>135999.15160893794</v>
      </c>
      <c r="AJ75" s="6">
        <f>P75*'Front page'!$E$3</f>
        <v>52042.996644575527</v>
      </c>
      <c r="AK75" s="6">
        <f>Q75*'Front page'!$E$3</f>
        <v>208171.98657830211</v>
      </c>
      <c r="AL75" s="6">
        <f>S75*'Front page'!$E$3</f>
        <v>30511.137774549705</v>
      </c>
      <c r="AM75" s="5">
        <f>Z75*'Front page'!$E$3</f>
        <v>0</v>
      </c>
      <c r="AN75" s="6">
        <f>T75*'Front page'!$E$3</f>
        <v>7379.3041468676429</v>
      </c>
      <c r="AO75" s="6">
        <f>U75*'Front page'!$E$3</f>
        <v>0</v>
      </c>
      <c r="AP75" s="6">
        <f>W75*'Front page'!$E$3</f>
        <v>647635.64620785136</v>
      </c>
      <c r="AQ75" s="6">
        <f>V75*'Front page'!$E$3</f>
        <v>0</v>
      </c>
      <c r="AR75" s="6">
        <f>X75*'Front page'!$E$3</f>
        <v>0</v>
      </c>
      <c r="AS75" s="6">
        <f t="shared" si="16"/>
        <v>4867377.257187495</v>
      </c>
      <c r="AT75" s="7">
        <f>IF(AS75&gt;'Funding Comparison'!D75*(1+'Front page'!$H$10),'Funding Comparison'!D75*(1+'Front page'!$H$10),AS75)</f>
        <v>2131331.6010000003</v>
      </c>
    </row>
    <row r="76" spans="1:46">
      <c r="A76" t="str">
        <f t="shared" si="9"/>
        <v>292</v>
      </c>
      <c r="B76">
        <f t="shared" si="11"/>
        <v>292</v>
      </c>
      <c r="C76" s="14" t="s">
        <v>84</v>
      </c>
      <c r="D76">
        <f>IF(settings!$G$4=0,'Student Enrollment Data'!AX77,'Student Enrollment Data'!CK77)</f>
        <v>99.5</v>
      </c>
      <c r="E76">
        <f>IF(settings!$G$4=0,'Student Enrollment Data'!AY77,'Student Enrollment Data'!CL77)</f>
        <v>36.5</v>
      </c>
      <c r="F76">
        <f>IF(settings!$G$4=0,'Student Enrollment Data'!AZ77,'Student Enrollment Data'!CM77)</f>
        <v>20</v>
      </c>
      <c r="G76" s="23">
        <f>'Student Enrollment Data'!BK77</f>
        <v>9</v>
      </c>
      <c r="H76">
        <f>'Student Enrollment Data'!BF77</f>
        <v>54</v>
      </c>
      <c r="I76">
        <f>SUM('Student Enrollment Data'!R77:X77,'Student Enrollment Data'!AQ77:AW77)</f>
        <v>0</v>
      </c>
      <c r="J76">
        <f>'Student Enrollment Data'!BS77</f>
        <v>8.4450730197155419</v>
      </c>
      <c r="K76">
        <f t="shared" si="12"/>
        <v>9.9500000000000011</v>
      </c>
      <c r="M76" s="27">
        <f t="shared" si="10"/>
        <v>99.5</v>
      </c>
      <c r="N76" s="27">
        <f>E76*'Front page'!$B$20</f>
        <v>3.6500000000000004</v>
      </c>
      <c r="O76" s="27">
        <f>F76*'Front page'!$B$21</f>
        <v>2</v>
      </c>
      <c r="P76">
        <f>G76*'Front page'!$B$18</f>
        <v>0.9</v>
      </c>
      <c r="Q76" s="27">
        <f>IF(settings!$B$4=0,Calculations!H76,Calculations!I76) *'Front page'!$B$11</f>
        <v>5.4</v>
      </c>
      <c r="R76" s="28">
        <f>ROUND(I76*'Front page'!$B$9,2)</f>
        <v>0</v>
      </c>
      <c r="S76" s="27">
        <f>J76*'Front page'!$B$14</f>
        <v>0.84450730197155421</v>
      </c>
      <c r="T76" s="81">
        <f>'Front page'!$B$16*Calculations!K76</f>
        <v>0.19900000000000004</v>
      </c>
      <c r="U76" s="81">
        <f>IF(settings!$B$13=0,(Calculations!M76*'Economic Adjustment'!O75)-Calculations!M76,0)</f>
        <v>0</v>
      </c>
      <c r="V76" s="154">
        <f>VLOOKUP(B76,'Remote School Building Weight'!$M$2:$P$174,3,FALSE)</f>
        <v>19.595552857365966</v>
      </c>
      <c r="W76" s="23">
        <f>'Small Dist Weight'!V75-Calculations!D76</f>
        <v>201.19535854231975</v>
      </c>
      <c r="X76" s="23">
        <f>IF(settings!$P$9=0,'Large District Weight'!H75*'Large District Weight'!G75,0)</f>
        <v>0</v>
      </c>
      <c r="Y76" s="23">
        <f t="shared" si="13"/>
        <v>333.28441870165727</v>
      </c>
      <c r="Z76" s="23">
        <f>IF(settings!$F$13=0,'Teacher Exp'!L76,0)</f>
        <v>0</v>
      </c>
      <c r="AA76" s="23">
        <f t="shared" si="14"/>
        <v>333.28441870165727</v>
      </c>
      <c r="AC76" s="24">
        <f>'Student Enrollment Data'!BU77</f>
        <v>0</v>
      </c>
      <c r="AD76" s="24">
        <f t="shared" si="15"/>
        <v>9.9500000000000011</v>
      </c>
      <c r="AE76" s="24">
        <f>AD76*'Front page'!$B$16</f>
        <v>0.19900000000000004</v>
      </c>
      <c r="AG76" s="6">
        <f>M76*'Front page'!$E$3</f>
        <v>488516.80812596832</v>
      </c>
      <c r="AH76" s="6">
        <f>N76*'Front page'!$E$3</f>
        <v>17920.465825726478</v>
      </c>
      <c r="AI76" s="6">
        <f>O76*'Front page'!$E$3</f>
        <v>9819.4333291651928</v>
      </c>
      <c r="AJ76" s="6">
        <f>P76*'Front page'!$E$3</f>
        <v>4418.7449981243371</v>
      </c>
      <c r="AK76" s="6">
        <f>Q76*'Front page'!$E$3</f>
        <v>26512.469988746023</v>
      </c>
      <c r="AL76" s="6">
        <f>S76*'Front page'!$E$3</f>
        <v>4146.2915738514266</v>
      </c>
      <c r="AM76" s="5">
        <f>Z76*'Front page'!$E$3</f>
        <v>0</v>
      </c>
      <c r="AN76" s="6">
        <f>T76*'Front page'!$E$3</f>
        <v>977.03361625193691</v>
      </c>
      <c r="AO76" s="6">
        <f>U76*'Front page'!$E$3</f>
        <v>0</v>
      </c>
      <c r="AP76" s="6">
        <f>W76*'Front page'!$E$3</f>
        <v>987812.20467189769</v>
      </c>
      <c r="AQ76" s="6">
        <f>V76*'Front page'!$E$3</f>
        <v>96208.612415518801</v>
      </c>
      <c r="AR76" s="6">
        <f>X76*'Front page'!$E$3</f>
        <v>0</v>
      </c>
      <c r="AS76" s="6">
        <f t="shared" si="16"/>
        <v>1636332.0645452503</v>
      </c>
      <c r="AT76" s="7">
        <f>IF(AS76&gt;'Funding Comparison'!D76*(1+'Front page'!$H$10),'Funding Comparison'!D76*(1+'Front page'!$H$10),AS76)</f>
        <v>1636332.0645452503</v>
      </c>
    </row>
    <row r="77" spans="1:46">
      <c r="A77" t="str">
        <f t="shared" si="9"/>
        <v>302</v>
      </c>
      <c r="B77">
        <f t="shared" si="11"/>
        <v>302</v>
      </c>
      <c r="C77" s="14" t="s">
        <v>85</v>
      </c>
      <c r="D77">
        <f>IF(settings!$G$4=0,'Student Enrollment Data'!AX78,'Student Enrollment Data'!CK78)</f>
        <v>137</v>
      </c>
      <c r="E77">
        <f>IF(settings!$G$4=0,'Student Enrollment Data'!AY78,'Student Enrollment Data'!CL78)</f>
        <v>41</v>
      </c>
      <c r="F77">
        <f>IF(settings!$G$4=0,'Student Enrollment Data'!AZ78,'Student Enrollment Data'!CM78)</f>
        <v>39</v>
      </c>
      <c r="G77" s="23">
        <f>'Student Enrollment Data'!BK78</f>
        <v>12</v>
      </c>
      <c r="H77">
        <f>'Student Enrollment Data'!BF78</f>
        <v>58</v>
      </c>
      <c r="I77">
        <f>SUM('Student Enrollment Data'!R78:X78,'Student Enrollment Data'!AQ78:AW78)</f>
        <v>0</v>
      </c>
      <c r="J77">
        <f>'Student Enrollment Data'!BS78</f>
        <v>0</v>
      </c>
      <c r="K77">
        <f t="shared" si="12"/>
        <v>13.700000000000001</v>
      </c>
      <c r="M77" s="27">
        <f t="shared" si="10"/>
        <v>137</v>
      </c>
      <c r="N77" s="27">
        <f>E77*'Front page'!$B$20</f>
        <v>4.1000000000000005</v>
      </c>
      <c r="O77" s="27">
        <f>F77*'Front page'!$B$21</f>
        <v>3.9000000000000004</v>
      </c>
      <c r="P77">
        <f>G77*'Front page'!$B$18</f>
        <v>1.2000000000000002</v>
      </c>
      <c r="Q77" s="27">
        <f>IF(settings!$B$4=0,Calculations!H77,Calculations!I77) *'Front page'!$B$11</f>
        <v>5.8000000000000007</v>
      </c>
      <c r="R77" s="28">
        <f>ROUND(I77*'Front page'!$B$9,2)</f>
        <v>0</v>
      </c>
      <c r="S77" s="27">
        <f>J77*'Front page'!$B$14</f>
        <v>0</v>
      </c>
      <c r="T77" s="81">
        <f>'Front page'!$B$16*Calculations!K77</f>
        <v>0.27400000000000002</v>
      </c>
      <c r="U77" s="81">
        <f>IF(settings!$B$13=0,(Calculations!M77*'Economic Adjustment'!O76)-Calculations!M77,0)</f>
        <v>0</v>
      </c>
      <c r="V77" s="154">
        <f>VLOOKUP(B77,'Remote School Building Weight'!$M$2:$P$174,3,FALSE)</f>
        <v>0</v>
      </c>
      <c r="W77" s="23">
        <f>'Small Dist Weight'!V76-Calculations!D77</f>
        <v>174.1126880877743</v>
      </c>
      <c r="X77" s="23">
        <f>IF(settings!$P$9=0,'Large District Weight'!H76*'Large District Weight'!G76,0)</f>
        <v>0</v>
      </c>
      <c r="Y77" s="23">
        <f t="shared" si="13"/>
        <v>326.3866880877743</v>
      </c>
      <c r="Z77" s="23">
        <f>IF(settings!$F$13=0,'Teacher Exp'!L77,0)</f>
        <v>0</v>
      </c>
      <c r="AA77" s="23">
        <f t="shared" si="14"/>
        <v>326.3866880877743</v>
      </c>
      <c r="AC77" s="24">
        <f>'Student Enrollment Data'!BU78</f>
        <v>0</v>
      </c>
      <c r="AD77" s="24">
        <f t="shared" si="15"/>
        <v>13.700000000000001</v>
      </c>
      <c r="AE77" s="24">
        <f>AD77*'Front page'!$B$16</f>
        <v>0.27400000000000002</v>
      </c>
      <c r="AG77" s="6">
        <f>M77*'Front page'!$E$3</f>
        <v>672631.18304781569</v>
      </c>
      <c r="AH77" s="6">
        <f>N77*'Front page'!$E$3</f>
        <v>20129.838324788649</v>
      </c>
      <c r="AI77" s="6">
        <f>O77*'Front page'!$E$3</f>
        <v>19147.894991872126</v>
      </c>
      <c r="AJ77" s="6">
        <f>P77*'Front page'!$E$3</f>
        <v>5891.6599974991168</v>
      </c>
      <c r="AK77" s="6">
        <f>Q77*'Front page'!$E$3</f>
        <v>28476.356654579064</v>
      </c>
      <c r="AL77" s="6">
        <f>S77*'Front page'!$E$3</f>
        <v>0</v>
      </c>
      <c r="AM77" s="5">
        <f>Z77*'Front page'!$E$3</f>
        <v>0</v>
      </c>
      <c r="AN77" s="6">
        <f>T77*'Front page'!$E$3</f>
        <v>1345.2623660956315</v>
      </c>
      <c r="AO77" s="6">
        <f>U77*'Front page'!$E$3</f>
        <v>0</v>
      </c>
      <c r="AP77" s="6">
        <f>W77*'Front page'!$E$3</f>
        <v>854843.96621981717</v>
      </c>
      <c r="AQ77" s="6">
        <f>V77*'Front page'!$E$3</f>
        <v>0</v>
      </c>
      <c r="AR77" s="6">
        <f>X77*'Front page'!$E$3</f>
        <v>0</v>
      </c>
      <c r="AS77" s="6">
        <f t="shared" si="16"/>
        <v>1602466.1616024673</v>
      </c>
      <c r="AT77" s="7">
        <f>IF(AS77&gt;'Funding Comparison'!D77*(1+'Front page'!$H$10),'Funding Comparison'!D77*(1+'Front page'!$H$10),AS77)</f>
        <v>1602466.1616024673</v>
      </c>
    </row>
    <row r="78" spans="1:46">
      <c r="A78" t="str">
        <f t="shared" si="9"/>
        <v>304</v>
      </c>
      <c r="B78">
        <f t="shared" si="11"/>
        <v>304</v>
      </c>
      <c r="C78" s="14" t="s">
        <v>86</v>
      </c>
      <c r="D78">
        <f>IF(settings!$G$4=0,'Student Enrollment Data'!AX79,'Student Enrollment Data'!CK79)</f>
        <v>407</v>
      </c>
      <c r="E78">
        <f>IF(settings!$G$4=0,'Student Enrollment Data'!AY79,'Student Enrollment Data'!CL79)</f>
        <v>95</v>
      </c>
      <c r="F78">
        <f>IF(settings!$G$4=0,'Student Enrollment Data'!AZ79,'Student Enrollment Data'!CM79)</f>
        <v>147</v>
      </c>
      <c r="G78" s="23">
        <f>'Student Enrollment Data'!BK79</f>
        <v>76</v>
      </c>
      <c r="H78">
        <f>'Student Enrollment Data'!BF79</f>
        <v>180.16</v>
      </c>
      <c r="I78">
        <f>SUM('Student Enrollment Data'!R79:X79,'Student Enrollment Data'!AQ79:AW79)</f>
        <v>0</v>
      </c>
      <c r="J78">
        <f>'Student Enrollment Data'!BS79</f>
        <v>34.355359061090148</v>
      </c>
      <c r="K78">
        <f t="shared" si="12"/>
        <v>40.700000000000003</v>
      </c>
      <c r="M78" s="27">
        <f t="shared" si="10"/>
        <v>407</v>
      </c>
      <c r="N78" s="27">
        <f>E78*'Front page'!$B$20</f>
        <v>9.5</v>
      </c>
      <c r="O78" s="27">
        <f>F78*'Front page'!$B$21</f>
        <v>14.700000000000001</v>
      </c>
      <c r="P78">
        <f>G78*'Front page'!$B$18</f>
        <v>7.6000000000000005</v>
      </c>
      <c r="Q78" s="27">
        <f>IF(settings!$B$4=0,Calculations!H78,Calculations!I78) *'Front page'!$B$11</f>
        <v>18.016000000000002</v>
      </c>
      <c r="R78" s="28">
        <f>ROUND(I78*'Front page'!$B$9,2)</f>
        <v>0</v>
      </c>
      <c r="S78" s="27">
        <f>J78*'Front page'!$B$14</f>
        <v>3.4355359061090152</v>
      </c>
      <c r="T78" s="81">
        <f>'Front page'!$B$16*Calculations!K78</f>
        <v>0.81400000000000006</v>
      </c>
      <c r="U78" s="81">
        <f>IF(settings!$B$13=0,(Calculations!M78*'Economic Adjustment'!O77)-Calculations!M78,0)</f>
        <v>0</v>
      </c>
      <c r="V78" s="154">
        <f>VLOOKUP(B78,'Remote School Building Weight'!$M$2:$P$174,3,FALSE)</f>
        <v>0</v>
      </c>
      <c r="W78" s="23">
        <f>'Small Dist Weight'!V77-Calculations!D78</f>
        <v>186.24185736677123</v>
      </c>
      <c r="X78" s="23">
        <f>IF(settings!$P$9=0,'Large District Weight'!H77*'Large District Weight'!G77,0)</f>
        <v>0</v>
      </c>
      <c r="Y78" s="23">
        <f t="shared" si="13"/>
        <v>647.30739327288029</v>
      </c>
      <c r="Z78" s="23">
        <f>IF(settings!$F$13=0,'Teacher Exp'!L78,0)</f>
        <v>0</v>
      </c>
      <c r="AA78" s="23">
        <f t="shared" si="14"/>
        <v>647.30739327288029</v>
      </c>
      <c r="AC78" s="24">
        <f>'Student Enrollment Data'!BU79</f>
        <v>0</v>
      </c>
      <c r="AD78" s="24">
        <f t="shared" si="15"/>
        <v>40.700000000000003</v>
      </c>
      <c r="AE78" s="24">
        <f>AD78*'Front page'!$B$16</f>
        <v>0.81400000000000006</v>
      </c>
      <c r="AG78" s="6">
        <f>M78*'Front page'!$E$3</f>
        <v>1998254.6824851166</v>
      </c>
      <c r="AH78" s="6">
        <f>N78*'Front page'!$E$3</f>
        <v>46642.308313534668</v>
      </c>
      <c r="AI78" s="6">
        <f>O78*'Front page'!$E$3</f>
        <v>72172.834969364179</v>
      </c>
      <c r="AJ78" s="6">
        <f>P78*'Front page'!$E$3</f>
        <v>37313.846650827734</v>
      </c>
      <c r="AK78" s="6">
        <f>Q78*'Front page'!$E$3</f>
        <v>88453.455429120062</v>
      </c>
      <c r="AL78" s="6">
        <f>S78*'Front page'!$E$3</f>
        <v>16867.507889995301</v>
      </c>
      <c r="AM78" s="5">
        <f>Z78*'Front page'!$E$3</f>
        <v>0</v>
      </c>
      <c r="AN78" s="6">
        <f>T78*'Front page'!$E$3</f>
        <v>3996.5093649702339</v>
      </c>
      <c r="AO78" s="6">
        <f>U78*'Front page'!$E$3</f>
        <v>0</v>
      </c>
      <c r="AP78" s="6">
        <f>W78*'Front page'!$E$3</f>
        <v>914394.75075645174</v>
      </c>
      <c r="AQ78" s="6">
        <f>V78*'Front page'!$E$3</f>
        <v>0</v>
      </c>
      <c r="AR78" s="6">
        <f>X78*'Front page'!$E$3</f>
        <v>0</v>
      </c>
      <c r="AS78" s="6">
        <f t="shared" si="16"/>
        <v>3178095.8958593803</v>
      </c>
      <c r="AT78" s="7">
        <f>IF(AS78&gt;'Funding Comparison'!D78*(1+'Front page'!$H$10),'Funding Comparison'!D78*(1+'Front page'!$H$10),AS78)</f>
        <v>2306140.0424999995</v>
      </c>
    </row>
    <row r="79" spans="1:46">
      <c r="A79" t="str">
        <f t="shared" si="9"/>
        <v>305</v>
      </c>
      <c r="B79">
        <f t="shared" si="11"/>
        <v>305</v>
      </c>
      <c r="C79" s="14" t="s">
        <v>87</v>
      </c>
      <c r="D79">
        <f>IF(settings!$G$4=0,'Student Enrollment Data'!AX80,'Student Enrollment Data'!CK80)</f>
        <v>159</v>
      </c>
      <c r="E79">
        <f>IF(settings!$G$4=0,'Student Enrollment Data'!AY80,'Student Enrollment Data'!CL80)</f>
        <v>46</v>
      </c>
      <c r="F79">
        <f>IF(settings!$G$4=0,'Student Enrollment Data'!AZ80,'Student Enrollment Data'!CM80)</f>
        <v>51</v>
      </c>
      <c r="G79" s="23">
        <f>'Student Enrollment Data'!BK80</f>
        <v>23</v>
      </c>
      <c r="H79">
        <f>'Student Enrollment Data'!BF80</f>
        <v>92</v>
      </c>
      <c r="I79">
        <f>SUM('Student Enrollment Data'!R80:X80,'Student Enrollment Data'!AQ80:AW80)</f>
        <v>0</v>
      </c>
      <c r="J79">
        <f>'Student Enrollment Data'!BS80</f>
        <v>0</v>
      </c>
      <c r="K79">
        <f t="shared" si="12"/>
        <v>15.9</v>
      </c>
      <c r="M79" s="27">
        <f t="shared" si="10"/>
        <v>159</v>
      </c>
      <c r="N79" s="27">
        <f>E79*'Front page'!$B$20</f>
        <v>4.6000000000000005</v>
      </c>
      <c r="O79" s="27">
        <f>F79*'Front page'!$B$21</f>
        <v>5.1000000000000005</v>
      </c>
      <c r="P79">
        <f>G79*'Front page'!$B$18</f>
        <v>2.3000000000000003</v>
      </c>
      <c r="Q79" s="27">
        <f>IF(settings!$B$4=0,Calculations!H79,Calculations!I79) *'Front page'!$B$11</f>
        <v>9.2000000000000011</v>
      </c>
      <c r="R79" s="28">
        <f>ROUND(I79*'Front page'!$B$9,2)</f>
        <v>0</v>
      </c>
      <c r="S79" s="27">
        <f>J79*'Front page'!$B$14</f>
        <v>0</v>
      </c>
      <c r="T79" s="81">
        <f>'Front page'!$B$16*Calculations!K79</f>
        <v>0.318</v>
      </c>
      <c r="U79" s="81">
        <f>IF(settings!$B$13=0,(Calculations!M79*'Economic Adjustment'!O78)-Calculations!M79,0)</f>
        <v>0</v>
      </c>
      <c r="V79" s="154">
        <f>VLOOKUP(B79,'Remote School Building Weight'!$M$2:$P$174,3,FALSE)</f>
        <v>0</v>
      </c>
      <c r="W79" s="23">
        <f>'Small Dist Weight'!V78-Calculations!D79</f>
        <v>166.42018808777431</v>
      </c>
      <c r="X79" s="23">
        <f>IF(settings!$P$9=0,'Large District Weight'!H78*'Large District Weight'!G78,0)</f>
        <v>0</v>
      </c>
      <c r="Y79" s="23">
        <f t="shared" si="13"/>
        <v>346.93818808777428</v>
      </c>
      <c r="Z79" s="23">
        <f>IF(settings!$F$13=0,'Teacher Exp'!L79,0)</f>
        <v>0</v>
      </c>
      <c r="AA79" s="23">
        <f t="shared" si="14"/>
        <v>346.93818808777428</v>
      </c>
      <c r="AC79" s="24">
        <f>'Student Enrollment Data'!BU80</f>
        <v>2</v>
      </c>
      <c r="AD79" s="24">
        <f t="shared" si="15"/>
        <v>15.9</v>
      </c>
      <c r="AE79" s="24">
        <f>AD79*'Front page'!$B$16</f>
        <v>0.318</v>
      </c>
      <c r="AG79" s="6">
        <f>M79*'Front page'!$E$3</f>
        <v>780644.94966863282</v>
      </c>
      <c r="AH79" s="6">
        <f>N79*'Front page'!$E$3</f>
        <v>22584.696657079945</v>
      </c>
      <c r="AI79" s="6">
        <f>O79*'Front page'!$E$3</f>
        <v>25039.554989371245</v>
      </c>
      <c r="AJ79" s="6">
        <f>P79*'Front page'!$E$3</f>
        <v>11292.348328539972</v>
      </c>
      <c r="AK79" s="6">
        <f>Q79*'Front page'!$E$3</f>
        <v>45169.39331415989</v>
      </c>
      <c r="AL79" s="6">
        <f>S79*'Front page'!$E$3</f>
        <v>0</v>
      </c>
      <c r="AM79" s="5">
        <f>Z79*'Front page'!$E$3</f>
        <v>0</v>
      </c>
      <c r="AN79" s="6">
        <f>T79*'Front page'!$E$3</f>
        <v>1561.2898993372658</v>
      </c>
      <c r="AO79" s="6">
        <f>U79*'Front page'!$E$3</f>
        <v>0</v>
      </c>
      <c r="AP79" s="6">
        <f>W79*'Front page'!$E$3</f>
        <v>817075.97077751567</v>
      </c>
      <c r="AQ79" s="6">
        <f>V79*'Front page'!$E$3</f>
        <v>0</v>
      </c>
      <c r="AR79" s="6">
        <f>X79*'Front page'!$E$3</f>
        <v>0</v>
      </c>
      <c r="AS79" s="6">
        <f t="shared" si="16"/>
        <v>1703368.2036346369</v>
      </c>
      <c r="AT79" s="7">
        <f>IF(AS79&gt;'Funding Comparison'!D79*(1+'Front page'!$H$10),'Funding Comparison'!D79*(1+'Front page'!$H$10),AS79)</f>
        <v>1703368.2036346369</v>
      </c>
    </row>
    <row r="80" spans="1:46">
      <c r="A80" t="str">
        <f t="shared" si="9"/>
        <v>312</v>
      </c>
      <c r="B80">
        <f t="shared" si="11"/>
        <v>312</v>
      </c>
      <c r="C80" s="14" t="s">
        <v>88</v>
      </c>
      <c r="D80">
        <f>IF(settings!$G$4=0,'Student Enrollment Data'!AX81,'Student Enrollment Data'!CK81)</f>
        <v>478.5</v>
      </c>
      <c r="E80">
        <f>IF(settings!$G$4=0,'Student Enrollment Data'!AY81,'Student Enrollment Data'!CL81)</f>
        <v>127.5</v>
      </c>
      <c r="F80">
        <f>IF(settings!$G$4=0,'Student Enrollment Data'!AZ81,'Student Enrollment Data'!CM81)</f>
        <v>153</v>
      </c>
      <c r="G80" s="23">
        <f>'Student Enrollment Data'!BK81</f>
        <v>48</v>
      </c>
      <c r="H80">
        <f>'Student Enrollment Data'!BF81</f>
        <v>380</v>
      </c>
      <c r="I80">
        <f>SUM('Student Enrollment Data'!R81:X81,'Student Enrollment Data'!AQ81:AW81)</f>
        <v>16.518610781915378</v>
      </c>
      <c r="J80">
        <f>'Student Enrollment Data'!BS81</f>
        <v>192</v>
      </c>
      <c r="K80">
        <f t="shared" si="12"/>
        <v>47.85</v>
      </c>
      <c r="M80" s="27">
        <f t="shared" si="10"/>
        <v>478.5</v>
      </c>
      <c r="N80" s="27">
        <f>E80*'Front page'!$B$20</f>
        <v>12.75</v>
      </c>
      <c r="O80" s="27">
        <f>F80*'Front page'!$B$21</f>
        <v>15.3</v>
      </c>
      <c r="P80">
        <f>G80*'Front page'!$B$18</f>
        <v>4.8000000000000007</v>
      </c>
      <c r="Q80" s="27">
        <f>IF(settings!$B$4=0,Calculations!H80,Calculations!I80) *'Front page'!$B$11</f>
        <v>38</v>
      </c>
      <c r="R80" s="28">
        <f>ROUND(I80*'Front page'!$B$9,2)</f>
        <v>0</v>
      </c>
      <c r="S80" s="27">
        <f>J80*'Front page'!$B$14</f>
        <v>19.200000000000003</v>
      </c>
      <c r="T80" s="81">
        <f>'Front page'!$B$16*Calculations!K80</f>
        <v>0.95700000000000007</v>
      </c>
      <c r="U80" s="81">
        <f>IF(settings!$B$13=0,(Calculations!M80*'Economic Adjustment'!O79)-Calculations!M80,0)</f>
        <v>0</v>
      </c>
      <c r="V80" s="154">
        <f>VLOOKUP(B80,'Remote School Building Weight'!$M$2:$P$174,3,FALSE)</f>
        <v>0</v>
      </c>
      <c r="W80" s="23">
        <f>'Small Dist Weight'!V79-Calculations!D80</f>
        <v>177.46671826018814</v>
      </c>
      <c r="X80" s="23">
        <f>IF(settings!$P$9=0,'Large District Weight'!H79*'Large District Weight'!G79,0)</f>
        <v>0</v>
      </c>
      <c r="Y80" s="23">
        <f t="shared" si="13"/>
        <v>746.97371826018821</v>
      </c>
      <c r="Z80" s="23">
        <f>IF(settings!$F$13=0,'Teacher Exp'!L80,0)</f>
        <v>0</v>
      </c>
      <c r="AA80" s="23">
        <f t="shared" si="14"/>
        <v>746.97371826018821</v>
      </c>
      <c r="AC80" s="24">
        <f>'Student Enrollment Data'!BU81</f>
        <v>0</v>
      </c>
      <c r="AD80" s="24">
        <f t="shared" si="15"/>
        <v>47.85</v>
      </c>
      <c r="AE80" s="24">
        <f>AD80*'Front page'!$B$16</f>
        <v>0.95700000000000007</v>
      </c>
      <c r="AG80" s="6">
        <f>M80*'Front page'!$E$3</f>
        <v>2349299.4240027722</v>
      </c>
      <c r="AH80" s="6">
        <f>N80*'Front page'!$E$3</f>
        <v>62598.887473428105</v>
      </c>
      <c r="AI80" s="6">
        <f>O80*'Front page'!$E$3</f>
        <v>75118.664968113735</v>
      </c>
      <c r="AJ80" s="6">
        <f>P80*'Front page'!$E$3</f>
        <v>23566.639989996467</v>
      </c>
      <c r="AK80" s="6">
        <f>Q80*'Front page'!$E$3</f>
        <v>186569.23325413867</v>
      </c>
      <c r="AL80" s="6">
        <f>S80*'Front page'!$E$3</f>
        <v>94266.559959985869</v>
      </c>
      <c r="AM80" s="5">
        <f>Z80*'Front page'!$E$3</f>
        <v>0</v>
      </c>
      <c r="AN80" s="6">
        <f>T80*'Front page'!$E$3</f>
        <v>4698.5988480055448</v>
      </c>
      <c r="AO80" s="6">
        <f>U80*'Front page'!$E$3</f>
        <v>0</v>
      </c>
      <c r="AP80" s="6">
        <f>W80*'Front page'!$E$3</f>
        <v>871311.30405083031</v>
      </c>
      <c r="AQ80" s="6">
        <f>V80*'Front page'!$E$3</f>
        <v>0</v>
      </c>
      <c r="AR80" s="6">
        <f>X80*'Front page'!$E$3</f>
        <v>0</v>
      </c>
      <c r="AS80" s="6">
        <f t="shared" si="16"/>
        <v>3667429.3125472711</v>
      </c>
      <c r="AT80" s="7">
        <f>IF(AS80&gt;'Funding Comparison'!D80*(1+'Front page'!$H$10),'Funding Comparison'!D80*(1+'Front page'!$H$10),AS80)</f>
        <v>2227047.0285</v>
      </c>
    </row>
    <row r="81" spans="1:46">
      <c r="A81" t="str">
        <f t="shared" si="9"/>
        <v>314</v>
      </c>
      <c r="B81">
        <f t="shared" si="11"/>
        <v>314</v>
      </c>
      <c r="C81" s="14" t="s">
        <v>89</v>
      </c>
      <c r="D81">
        <f>IF(settings!$G$4=0,'Student Enrollment Data'!AX82,'Student Enrollment Data'!CK82)</f>
        <v>203</v>
      </c>
      <c r="E81">
        <f>IF(settings!$G$4=0,'Student Enrollment Data'!AY82,'Student Enrollment Data'!CL82)</f>
        <v>56</v>
      </c>
      <c r="F81">
        <f>IF(settings!$G$4=0,'Student Enrollment Data'!AZ82,'Student Enrollment Data'!CM82)</f>
        <v>59</v>
      </c>
      <c r="G81" s="23">
        <f>'Student Enrollment Data'!BK82</f>
        <v>20</v>
      </c>
      <c r="H81">
        <f>'Student Enrollment Data'!BF82</f>
        <v>129</v>
      </c>
      <c r="I81">
        <f>SUM('Student Enrollment Data'!R82:X82,'Student Enrollment Data'!AQ82:AW82)</f>
        <v>0</v>
      </c>
      <c r="J81">
        <f>'Student Enrollment Data'!BS82</f>
        <v>30</v>
      </c>
      <c r="K81">
        <f t="shared" si="12"/>
        <v>20.3</v>
      </c>
      <c r="M81" s="27">
        <f t="shared" si="10"/>
        <v>203</v>
      </c>
      <c r="N81" s="27">
        <f>E81*'Front page'!$B$20</f>
        <v>5.6000000000000005</v>
      </c>
      <c r="O81" s="27">
        <f>F81*'Front page'!$B$21</f>
        <v>5.9</v>
      </c>
      <c r="P81">
        <f>G81*'Front page'!$B$18</f>
        <v>2</v>
      </c>
      <c r="Q81" s="27">
        <f>IF(settings!$B$4=0,Calculations!H81,Calculations!I81) *'Front page'!$B$11</f>
        <v>12.9</v>
      </c>
      <c r="R81" s="28">
        <f>ROUND(I81*'Front page'!$B$9,2)</f>
        <v>0</v>
      </c>
      <c r="S81" s="27">
        <f>J81*'Front page'!$B$14</f>
        <v>3</v>
      </c>
      <c r="T81" s="81">
        <f>'Front page'!$B$16*Calculations!K81</f>
        <v>0.40600000000000003</v>
      </c>
      <c r="U81" s="81">
        <f>IF(settings!$B$13=0,(Calculations!M81*'Economic Adjustment'!O80)-Calculations!M81,0)</f>
        <v>0</v>
      </c>
      <c r="V81" s="154">
        <f>VLOOKUP(B81,'Remote School Building Weight'!$M$2:$P$174,3,FALSE)</f>
        <v>0</v>
      </c>
      <c r="W81" s="23">
        <f>'Small Dist Weight'!V80-Calculations!D81</f>
        <v>146.52723354231978</v>
      </c>
      <c r="X81" s="23">
        <f>IF(settings!$P$9=0,'Large District Weight'!H80*'Large District Weight'!G80,0)</f>
        <v>0</v>
      </c>
      <c r="Y81" s="23">
        <f t="shared" si="13"/>
        <v>379.33323354231982</v>
      </c>
      <c r="Z81" s="23">
        <f>IF(settings!$F$13=0,'Teacher Exp'!L81,0)</f>
        <v>0</v>
      </c>
      <c r="AA81" s="23">
        <f t="shared" si="14"/>
        <v>379.33323354231982</v>
      </c>
      <c r="AC81" s="24">
        <f>'Student Enrollment Data'!BU82</f>
        <v>6</v>
      </c>
      <c r="AD81" s="24">
        <f t="shared" si="15"/>
        <v>20.3</v>
      </c>
      <c r="AE81" s="24">
        <f>AD81*'Front page'!$B$16</f>
        <v>0.40600000000000003</v>
      </c>
      <c r="AG81" s="6">
        <f>M81*'Front page'!$E$3</f>
        <v>996672.48291026708</v>
      </c>
      <c r="AH81" s="6">
        <f>N81*'Front page'!$E$3</f>
        <v>27494.413321662541</v>
      </c>
      <c r="AI81" s="6">
        <f>O81*'Front page'!$E$3</f>
        <v>28967.328321037319</v>
      </c>
      <c r="AJ81" s="6">
        <f>P81*'Front page'!$E$3</f>
        <v>9819.4333291651928</v>
      </c>
      <c r="AK81" s="6">
        <f>Q81*'Front page'!$E$3</f>
        <v>63335.344973115498</v>
      </c>
      <c r="AL81" s="6">
        <f>S81*'Front page'!$E$3</f>
        <v>14729.149993747789</v>
      </c>
      <c r="AM81" s="5">
        <f>Z81*'Front page'!$E$3</f>
        <v>0</v>
      </c>
      <c r="AN81" s="6">
        <f>T81*'Front page'!$E$3</f>
        <v>1993.3449658205343</v>
      </c>
      <c r="AO81" s="6">
        <f>U81*'Front page'!$E$3</f>
        <v>0</v>
      </c>
      <c r="AP81" s="6">
        <f>W81*'Front page'!$E$3</f>
        <v>719407.20033791335</v>
      </c>
      <c r="AQ81" s="6">
        <f>V81*'Front page'!$E$3</f>
        <v>0</v>
      </c>
      <c r="AR81" s="6">
        <f>X81*'Front page'!$E$3</f>
        <v>0</v>
      </c>
      <c r="AS81" s="6">
        <f t="shared" si="16"/>
        <v>1862418.6981527291</v>
      </c>
      <c r="AT81" s="7">
        <f>IF(AS81&gt;'Funding Comparison'!D81*(1+'Front page'!$H$10),'Funding Comparison'!D81*(1+'Front page'!$H$10),AS81)</f>
        <v>1862418.6981527291</v>
      </c>
    </row>
    <row r="82" spans="1:46">
      <c r="A82" t="str">
        <f t="shared" si="9"/>
        <v>316</v>
      </c>
      <c r="B82">
        <f t="shared" si="11"/>
        <v>316</v>
      </c>
      <c r="C82" s="14" t="s">
        <v>90</v>
      </c>
      <c r="D82">
        <f>IF(settings!$G$4=0,'Student Enrollment Data'!AX83,'Student Enrollment Data'!CK83)</f>
        <v>177</v>
      </c>
      <c r="E82">
        <f>IF(settings!$G$4=0,'Student Enrollment Data'!AY83,'Student Enrollment Data'!CL83)</f>
        <v>54</v>
      </c>
      <c r="F82">
        <f>IF(settings!$G$4=0,'Student Enrollment Data'!AZ83,'Student Enrollment Data'!CM83)</f>
        <v>47</v>
      </c>
      <c r="G82" s="23">
        <f>'Student Enrollment Data'!BK83</f>
        <v>26</v>
      </c>
      <c r="H82">
        <f>'Student Enrollment Data'!BF83</f>
        <v>114</v>
      </c>
      <c r="I82">
        <f>SUM('Student Enrollment Data'!R83:X83,'Student Enrollment Data'!AQ83:AW83)</f>
        <v>0</v>
      </c>
      <c r="J82">
        <f>'Student Enrollment Data'!BS83</f>
        <v>25</v>
      </c>
      <c r="K82">
        <f t="shared" si="12"/>
        <v>17.7</v>
      </c>
      <c r="M82" s="27">
        <f t="shared" si="10"/>
        <v>177</v>
      </c>
      <c r="N82" s="27">
        <f>E82*'Front page'!$B$20</f>
        <v>5.4</v>
      </c>
      <c r="O82" s="27">
        <f>F82*'Front page'!$B$21</f>
        <v>4.7</v>
      </c>
      <c r="P82">
        <f>G82*'Front page'!$B$18</f>
        <v>2.6</v>
      </c>
      <c r="Q82" s="27">
        <f>IF(settings!$B$4=0,Calculations!H82,Calculations!I82) *'Front page'!$B$11</f>
        <v>11.4</v>
      </c>
      <c r="R82" s="28">
        <f>ROUND(I82*'Front page'!$B$9,2)</f>
        <v>0</v>
      </c>
      <c r="S82" s="27">
        <f>J82*'Front page'!$B$14</f>
        <v>2.5</v>
      </c>
      <c r="T82" s="81">
        <f>'Front page'!$B$16*Calculations!K82</f>
        <v>0.35399999999999998</v>
      </c>
      <c r="U82" s="81">
        <f>IF(settings!$B$13=0,(Calculations!M82*'Economic Adjustment'!O81)-Calculations!M82,0)</f>
        <v>0</v>
      </c>
      <c r="V82" s="154">
        <f>VLOOKUP(B82,'Remote School Building Weight'!$M$2:$P$174,3,FALSE)</f>
        <v>0</v>
      </c>
      <c r="W82" s="23">
        <f>'Small Dist Weight'!V81-Calculations!D82</f>
        <v>172.52723354231978</v>
      </c>
      <c r="X82" s="23">
        <f>IF(settings!$P$9=0,'Large District Weight'!H81*'Large District Weight'!G81,0)</f>
        <v>0</v>
      </c>
      <c r="Y82" s="23">
        <f t="shared" si="13"/>
        <v>376.48123354231979</v>
      </c>
      <c r="Z82" s="23">
        <f>IF(settings!$F$13=0,'Teacher Exp'!L82,0)</f>
        <v>0</v>
      </c>
      <c r="AA82" s="23">
        <f t="shared" si="14"/>
        <v>376.48123354231979</v>
      </c>
      <c r="AC82" s="24">
        <f>'Student Enrollment Data'!BU83</f>
        <v>0</v>
      </c>
      <c r="AD82" s="24">
        <f t="shared" si="15"/>
        <v>17.7</v>
      </c>
      <c r="AE82" s="24">
        <f>AD82*'Front page'!$B$16</f>
        <v>0.35399999999999998</v>
      </c>
      <c r="AG82" s="6">
        <f>M82*'Front page'!$E$3</f>
        <v>869019.84963111952</v>
      </c>
      <c r="AH82" s="6">
        <f>N82*'Front page'!$E$3</f>
        <v>26512.469988746023</v>
      </c>
      <c r="AI82" s="6">
        <f>O82*'Front page'!$E$3</f>
        <v>23075.668323538204</v>
      </c>
      <c r="AJ82" s="6">
        <f>P82*'Front page'!$E$3</f>
        <v>12765.26332791475</v>
      </c>
      <c r="AK82" s="6">
        <f>Q82*'Front page'!$E$3</f>
        <v>55970.769976241601</v>
      </c>
      <c r="AL82" s="6">
        <f>S82*'Front page'!$E$3</f>
        <v>12274.291661456491</v>
      </c>
      <c r="AM82" s="5">
        <f>Z82*'Front page'!$E$3</f>
        <v>0</v>
      </c>
      <c r="AN82" s="6">
        <f>T82*'Front page'!$E$3</f>
        <v>1738.0396992622391</v>
      </c>
      <c r="AO82" s="6">
        <f>U82*'Front page'!$E$3</f>
        <v>0</v>
      </c>
      <c r="AP82" s="6">
        <f>W82*'Front page'!$E$3</f>
        <v>847059.83361706091</v>
      </c>
      <c r="AQ82" s="6">
        <f>V82*'Front page'!$E$3</f>
        <v>0</v>
      </c>
      <c r="AR82" s="6">
        <f>X82*'Front page'!$E$3</f>
        <v>0</v>
      </c>
      <c r="AS82" s="6">
        <f t="shared" si="16"/>
        <v>1848416.1862253398</v>
      </c>
      <c r="AT82" s="7">
        <f>IF(AS82&gt;'Funding Comparison'!D82*(1+'Front page'!$H$10),'Funding Comparison'!D82*(1+'Front page'!$H$10),AS82)</f>
        <v>1848416.1862253398</v>
      </c>
    </row>
    <row r="83" spans="1:46">
      <c r="A83" t="str">
        <f t="shared" si="9"/>
        <v>321</v>
      </c>
      <c r="B83">
        <f t="shared" si="11"/>
        <v>321</v>
      </c>
      <c r="C83" s="14" t="s">
        <v>91</v>
      </c>
      <c r="D83">
        <f>IF(settings!$G$4=0,'Student Enrollment Data'!AX84,'Student Enrollment Data'!CK84)</f>
        <v>5007.4784313725486</v>
      </c>
      <c r="E83">
        <f>IF(settings!$G$4=0,'Student Enrollment Data'!AY84,'Student Enrollment Data'!CL84)</f>
        <v>1345</v>
      </c>
      <c r="F83">
        <f>IF(settings!$G$4=0,'Student Enrollment Data'!AZ84,'Student Enrollment Data'!CM84)</f>
        <v>1659.478431372549</v>
      </c>
      <c r="G83" s="23">
        <f>'Student Enrollment Data'!BK84</f>
        <v>570</v>
      </c>
      <c r="H83">
        <f>'Student Enrollment Data'!BF84</f>
        <v>1946</v>
      </c>
      <c r="I83">
        <f>SUM('Student Enrollment Data'!R84:X84,'Student Enrollment Data'!AQ84:AW84)</f>
        <v>113.80751690934618</v>
      </c>
      <c r="J83">
        <f>'Student Enrollment Data'!BS84</f>
        <v>224</v>
      </c>
      <c r="K83">
        <f t="shared" si="12"/>
        <v>500.7478431372549</v>
      </c>
      <c r="M83" s="27">
        <f t="shared" si="10"/>
        <v>5007.4784313725486</v>
      </c>
      <c r="N83" s="27">
        <f>E83*'Front page'!$B$20</f>
        <v>134.5</v>
      </c>
      <c r="O83" s="27">
        <f>F83*'Front page'!$B$21</f>
        <v>165.94784313725492</v>
      </c>
      <c r="P83">
        <f>G83*'Front page'!$B$18</f>
        <v>57</v>
      </c>
      <c r="Q83" s="27">
        <f>IF(settings!$B$4=0,Calculations!H83,Calculations!I83) *'Front page'!$B$11</f>
        <v>194.60000000000002</v>
      </c>
      <c r="R83" s="28">
        <f>ROUND(I83*'Front page'!$B$9,2)</f>
        <v>0</v>
      </c>
      <c r="S83" s="27">
        <f>J83*'Front page'!$B$14</f>
        <v>22.400000000000002</v>
      </c>
      <c r="T83" s="81">
        <f>'Front page'!$B$16*Calculations!K83</f>
        <v>10.014956862745098</v>
      </c>
      <c r="U83" s="81">
        <f>IF(settings!$B$13=0,(Calculations!M83*'Economic Adjustment'!O82)-Calculations!M83,0)</f>
        <v>0</v>
      </c>
      <c r="V83" s="154">
        <f>VLOOKUP(B83,'Remote School Building Weight'!$M$2:$P$174,3,FALSE)</f>
        <v>0</v>
      </c>
      <c r="W83" s="23">
        <f>'Small Dist Weight'!V82-Calculations!D83</f>
        <v>0</v>
      </c>
      <c r="X83" s="23">
        <f>IF(settings!$P$9=0,'Large District Weight'!H82*'Large District Weight'!G82,0)</f>
        <v>0</v>
      </c>
      <c r="Y83" s="23">
        <f t="shared" si="13"/>
        <v>5591.9412313725479</v>
      </c>
      <c r="Z83" s="23">
        <f>IF(settings!$F$13=0,'Teacher Exp'!L83,0)</f>
        <v>0</v>
      </c>
      <c r="AA83" s="23">
        <f t="shared" si="14"/>
        <v>5591.9412313725479</v>
      </c>
      <c r="AC83" s="24">
        <f>'Student Enrollment Data'!BU84</f>
        <v>426</v>
      </c>
      <c r="AD83" s="24">
        <f t="shared" si="15"/>
        <v>500.7478431372549</v>
      </c>
      <c r="AE83" s="24">
        <f>AD83*'Front page'!$B$16</f>
        <v>10.014956862745098</v>
      </c>
      <c r="AG83" s="6">
        <f>M83*'Front page'!$E$3</f>
        <v>24585300.302047722</v>
      </c>
      <c r="AH83" s="6">
        <f>N83*'Front page'!$E$3</f>
        <v>660356.89138635923</v>
      </c>
      <c r="AI83" s="6">
        <f>O83*'Front page'!$E$3</f>
        <v>814756.89090251911</v>
      </c>
      <c r="AJ83" s="6">
        <f>P83*'Front page'!$E$3</f>
        <v>279853.84988120798</v>
      </c>
      <c r="AK83" s="6">
        <f>Q83*'Front page'!$E$3</f>
        <v>955430.86292777339</v>
      </c>
      <c r="AL83" s="6">
        <f>S83*'Front page'!$E$3</f>
        <v>109977.65328665017</v>
      </c>
      <c r="AM83" s="5">
        <f>Z83*'Front page'!$E$3</f>
        <v>0</v>
      </c>
      <c r="AN83" s="6">
        <f>T83*'Front page'!$E$3</f>
        <v>49170.600604095445</v>
      </c>
      <c r="AO83" s="6">
        <f>U83*'Front page'!$E$3</f>
        <v>0</v>
      </c>
      <c r="AP83" s="6">
        <f>W83*'Front page'!$E$3</f>
        <v>0</v>
      </c>
      <c r="AQ83" s="6">
        <f>V83*'Front page'!$E$3</f>
        <v>0</v>
      </c>
      <c r="AR83" s="6">
        <f>X83*'Front page'!$E$3</f>
        <v>0</v>
      </c>
      <c r="AS83" s="6">
        <f t="shared" si="16"/>
        <v>27454847.051036328</v>
      </c>
      <c r="AT83" s="7">
        <f>IF(AS83&gt;'Funding Comparison'!D83*(1+'Front page'!$H$10),'Funding Comparison'!D83*(1+'Front page'!$H$10),AS83)</f>
        <v>2313361.4595000003</v>
      </c>
    </row>
    <row r="84" spans="1:46">
      <c r="A84" t="str">
        <f t="shared" si="9"/>
        <v>322</v>
      </c>
      <c r="B84">
        <f t="shared" si="11"/>
        <v>322</v>
      </c>
      <c r="C84" s="14" t="s">
        <v>92</v>
      </c>
      <c r="D84">
        <f>IF(settings!$G$4=0,'Student Enrollment Data'!AX85,'Student Enrollment Data'!CK85)</f>
        <v>1559</v>
      </c>
      <c r="E84">
        <f>IF(settings!$G$4=0,'Student Enrollment Data'!AY85,'Student Enrollment Data'!CL85)</f>
        <v>349</v>
      </c>
      <c r="F84">
        <f>IF(settings!$G$4=0,'Student Enrollment Data'!AZ85,'Student Enrollment Data'!CM85)</f>
        <v>539</v>
      </c>
      <c r="G84" s="23">
        <f>'Student Enrollment Data'!BK85</f>
        <v>123</v>
      </c>
      <c r="H84">
        <f>'Student Enrollment Data'!BF85</f>
        <v>613</v>
      </c>
      <c r="I84">
        <f>SUM('Student Enrollment Data'!R85:X85,'Student Enrollment Data'!AQ85:AW85)</f>
        <v>18.359193416329333</v>
      </c>
      <c r="J84">
        <f>'Student Enrollment Data'!BS85</f>
        <v>51</v>
      </c>
      <c r="K84">
        <f t="shared" si="12"/>
        <v>155.9</v>
      </c>
      <c r="M84" s="27">
        <f t="shared" si="10"/>
        <v>1559</v>
      </c>
      <c r="N84" s="27">
        <f>E84*'Front page'!$B$20</f>
        <v>34.9</v>
      </c>
      <c r="O84" s="27">
        <f>F84*'Front page'!$B$21</f>
        <v>53.900000000000006</v>
      </c>
      <c r="P84">
        <f>G84*'Front page'!$B$18</f>
        <v>12.3</v>
      </c>
      <c r="Q84" s="27">
        <f>IF(settings!$B$4=0,Calculations!H84,Calculations!I84) *'Front page'!$B$11</f>
        <v>61.300000000000004</v>
      </c>
      <c r="R84" s="28">
        <f>ROUND(I84*'Front page'!$B$9,2)</f>
        <v>0</v>
      </c>
      <c r="S84" s="27">
        <f>J84*'Front page'!$B$14</f>
        <v>5.1000000000000005</v>
      </c>
      <c r="T84" s="81">
        <f>'Front page'!$B$16*Calculations!K84</f>
        <v>3.1180000000000003</v>
      </c>
      <c r="U84" s="81">
        <f>IF(settings!$B$13=0,(Calculations!M84*'Economic Adjustment'!O83)-Calculations!M84,0)</f>
        <v>0</v>
      </c>
      <c r="V84" s="154">
        <f>VLOOKUP(B84,'Remote School Building Weight'!$M$2:$P$174,3,FALSE)</f>
        <v>0</v>
      </c>
      <c r="W84" s="23">
        <f>'Small Dist Weight'!V83-Calculations!D84</f>
        <v>29.32758620689674</v>
      </c>
      <c r="X84" s="23">
        <f>IF(settings!$P$9=0,'Large District Weight'!H83*'Large District Weight'!G83,0)</f>
        <v>0</v>
      </c>
      <c r="Y84" s="23">
        <f t="shared" si="13"/>
        <v>1758.9455862068967</v>
      </c>
      <c r="Z84" s="23">
        <f>IF(settings!$F$13=0,'Teacher Exp'!L84,0)</f>
        <v>0</v>
      </c>
      <c r="AA84" s="23">
        <f t="shared" si="14"/>
        <v>1758.9455862068967</v>
      </c>
      <c r="AC84" s="24">
        <f>'Student Enrollment Data'!BU85</f>
        <v>75</v>
      </c>
      <c r="AD84" s="24">
        <f t="shared" si="15"/>
        <v>155.9</v>
      </c>
      <c r="AE84" s="24">
        <f>AD84*'Front page'!$B$16</f>
        <v>3.1180000000000003</v>
      </c>
      <c r="AG84" s="6">
        <f>M84*'Front page'!$E$3</f>
        <v>7654248.2800842682</v>
      </c>
      <c r="AH84" s="6">
        <f>N84*'Front page'!$E$3</f>
        <v>171349.11159393261</v>
      </c>
      <c r="AI84" s="6">
        <f>O84*'Front page'!$E$3</f>
        <v>264633.72822100198</v>
      </c>
      <c r="AJ84" s="6">
        <f>P84*'Front page'!$E$3</f>
        <v>60389.514974365942</v>
      </c>
      <c r="AK84" s="6">
        <f>Q84*'Front page'!$E$3</f>
        <v>300965.63153891318</v>
      </c>
      <c r="AL84" s="6">
        <f>S84*'Front page'!$E$3</f>
        <v>25039.554989371245</v>
      </c>
      <c r="AM84" s="5">
        <f>Z84*'Front page'!$E$3</f>
        <v>0</v>
      </c>
      <c r="AN84" s="6">
        <f>T84*'Front page'!$E$3</f>
        <v>15308.496560168538</v>
      </c>
      <c r="AO84" s="6">
        <f>U84*'Front page'!$E$3</f>
        <v>0</v>
      </c>
      <c r="AP84" s="6">
        <f>W84*'Front page'!$E$3</f>
        <v>143990.13873198364</v>
      </c>
      <c r="AQ84" s="6">
        <f>V84*'Front page'!$E$3</f>
        <v>0</v>
      </c>
      <c r="AR84" s="6">
        <f>X84*'Front page'!$E$3</f>
        <v>0</v>
      </c>
      <c r="AS84" s="6">
        <f t="shared" si="16"/>
        <v>8635924.4566940069</v>
      </c>
      <c r="AT84" s="7">
        <f>IF(AS84&gt;'Funding Comparison'!D84*(1+'Front page'!$H$10),'Funding Comparison'!D84*(1+'Front page'!$H$10),AS84)</f>
        <v>2560299.6195</v>
      </c>
    </row>
    <row r="85" spans="1:46">
      <c r="A85" t="str">
        <f t="shared" si="9"/>
        <v>331</v>
      </c>
      <c r="B85">
        <f t="shared" si="11"/>
        <v>331</v>
      </c>
      <c r="C85" s="14" t="s">
        <v>93</v>
      </c>
      <c r="D85">
        <f>IF(settings!$G$4=0,'Student Enrollment Data'!AX86,'Student Enrollment Data'!CK86)</f>
        <v>4068.3878959276017</v>
      </c>
      <c r="E85">
        <f>IF(settings!$G$4=0,'Student Enrollment Data'!AY86,'Student Enrollment Data'!CL86)</f>
        <v>1172</v>
      </c>
      <c r="F85">
        <f>IF(settings!$G$4=0,'Student Enrollment Data'!AZ86,'Student Enrollment Data'!CM86)</f>
        <v>1156.9159879336351</v>
      </c>
      <c r="G85" s="23">
        <f>'Student Enrollment Data'!BK86</f>
        <v>475</v>
      </c>
      <c r="H85">
        <f>'Student Enrollment Data'!BF86</f>
        <v>2840</v>
      </c>
      <c r="I85">
        <f>SUM('Student Enrollment Data'!R86:X86,'Student Enrollment Data'!AQ86:AW86)</f>
        <v>284.63912549948287</v>
      </c>
      <c r="J85">
        <f>'Student Enrollment Data'!BS86</f>
        <v>668</v>
      </c>
      <c r="K85">
        <f t="shared" si="12"/>
        <v>406.83878959276018</v>
      </c>
      <c r="M85" s="27">
        <f t="shared" si="10"/>
        <v>4068.3878959276017</v>
      </c>
      <c r="N85" s="27">
        <f>E85*'Front page'!$B$20</f>
        <v>117.2</v>
      </c>
      <c r="O85" s="27">
        <f>F85*'Front page'!$B$21</f>
        <v>115.69159879336351</v>
      </c>
      <c r="P85">
        <f>G85*'Front page'!$B$18</f>
        <v>47.5</v>
      </c>
      <c r="Q85" s="27">
        <f>IF(settings!$B$4=0,Calculations!H85,Calculations!I85) *'Front page'!$B$11</f>
        <v>284</v>
      </c>
      <c r="R85" s="28">
        <f>ROUND(I85*'Front page'!$B$9,2)</f>
        <v>0</v>
      </c>
      <c r="S85" s="27">
        <f>J85*'Front page'!$B$14</f>
        <v>66.8</v>
      </c>
      <c r="T85" s="81">
        <f>'Front page'!$B$16*Calculations!K85</f>
        <v>8.1367757918552037</v>
      </c>
      <c r="U85" s="81">
        <f>IF(settings!$B$13=0,(Calculations!M85*'Economic Adjustment'!O84)-Calculations!M85,0)</f>
        <v>0</v>
      </c>
      <c r="V85" s="154">
        <f>VLOOKUP(B85,'Remote School Building Weight'!$M$2:$P$174,3,FALSE)</f>
        <v>0</v>
      </c>
      <c r="W85" s="23">
        <f>'Small Dist Weight'!V84-Calculations!D85</f>
        <v>0</v>
      </c>
      <c r="X85" s="23">
        <f>IF(settings!$P$9=0,'Large District Weight'!H84*'Large District Weight'!G84,0)</f>
        <v>0</v>
      </c>
      <c r="Y85" s="23">
        <f t="shared" si="13"/>
        <v>4707.7162705128203</v>
      </c>
      <c r="Z85" s="23">
        <f>IF(settings!$F$13=0,'Teacher Exp'!L85,0)</f>
        <v>0</v>
      </c>
      <c r="AA85" s="23">
        <f t="shared" si="14"/>
        <v>4707.7162705128203</v>
      </c>
      <c r="AC85" s="24">
        <f>'Student Enrollment Data'!BU86</f>
        <v>79</v>
      </c>
      <c r="AD85" s="24">
        <f t="shared" si="15"/>
        <v>406.83878959276018</v>
      </c>
      <c r="AE85" s="24">
        <f>AD85*'Front page'!$B$16</f>
        <v>8.1367757918552037</v>
      </c>
      <c r="AG85" s="6">
        <f>M85*'Front page'!$E$3</f>
        <v>19974631.850621872</v>
      </c>
      <c r="AH85" s="6">
        <f>N85*'Front page'!$E$3</f>
        <v>575418.79308908037</v>
      </c>
      <c r="AI85" s="6">
        <f>O85*'Front page'!$E$3</f>
        <v>568012.97054798063</v>
      </c>
      <c r="AJ85" s="6">
        <f>P85*'Front page'!$E$3</f>
        <v>233211.54156767332</v>
      </c>
      <c r="AK85" s="6">
        <f>Q85*'Front page'!$E$3</f>
        <v>1394359.5327414575</v>
      </c>
      <c r="AL85" s="6">
        <f>S85*'Front page'!$E$3</f>
        <v>327969.0731941174</v>
      </c>
      <c r="AM85" s="5">
        <f>Z85*'Front page'!$E$3</f>
        <v>0</v>
      </c>
      <c r="AN85" s="6">
        <f>T85*'Front page'!$E$3</f>
        <v>39949.263701243748</v>
      </c>
      <c r="AO85" s="6">
        <f>U85*'Front page'!$E$3</f>
        <v>0</v>
      </c>
      <c r="AP85" s="6">
        <f>W85*'Front page'!$E$3</f>
        <v>0</v>
      </c>
      <c r="AQ85" s="6">
        <f>V85*'Front page'!$E$3</f>
        <v>0</v>
      </c>
      <c r="AR85" s="6">
        <f>X85*'Front page'!$E$3</f>
        <v>0</v>
      </c>
      <c r="AS85" s="6">
        <f t="shared" si="16"/>
        <v>23113553.025463425</v>
      </c>
      <c r="AT85" s="7">
        <f>IF(AS85&gt;'Funding Comparison'!D85*(1+'Front page'!$H$10),'Funding Comparison'!D85*(1+'Front page'!$H$10),AS85)</f>
        <v>2511772.3365000007</v>
      </c>
    </row>
    <row r="86" spans="1:46">
      <c r="A86" t="str">
        <f t="shared" si="9"/>
        <v>340</v>
      </c>
      <c r="B86">
        <f t="shared" si="11"/>
        <v>340</v>
      </c>
      <c r="C86" s="14" t="s">
        <v>94</v>
      </c>
      <c r="D86">
        <f>IF(settings!$G$4=0,'Student Enrollment Data'!AX87,'Student Enrollment Data'!CK87)</f>
        <v>4536.3426470588238</v>
      </c>
      <c r="E86">
        <f>IF(settings!$G$4=0,'Student Enrollment Data'!AY87,'Student Enrollment Data'!CL87)</f>
        <v>1244</v>
      </c>
      <c r="F86">
        <f>IF(settings!$G$4=0,'Student Enrollment Data'!AZ87,'Student Enrollment Data'!CM87)</f>
        <v>1482.7200980392156</v>
      </c>
      <c r="G86" s="23">
        <f>'Student Enrollment Data'!BK87</f>
        <v>582</v>
      </c>
      <c r="H86">
        <f>'Student Enrollment Data'!BF87</f>
        <v>1578</v>
      </c>
      <c r="I86">
        <f>SUM('Student Enrollment Data'!R87:X87,'Student Enrollment Data'!AQ87:AW87)</f>
        <v>161.09874370526285</v>
      </c>
      <c r="J86">
        <f>'Student Enrollment Data'!BS87</f>
        <v>15</v>
      </c>
      <c r="K86">
        <f t="shared" si="12"/>
        <v>453.6342647058824</v>
      </c>
      <c r="M86" s="27">
        <f t="shared" si="10"/>
        <v>4536.3426470588238</v>
      </c>
      <c r="N86" s="27">
        <f>E86*'Front page'!$B$20</f>
        <v>124.4</v>
      </c>
      <c r="O86" s="27">
        <f>F86*'Front page'!$B$21</f>
        <v>148.27200980392158</v>
      </c>
      <c r="P86">
        <f>G86*'Front page'!$B$18</f>
        <v>58.2</v>
      </c>
      <c r="Q86" s="27">
        <f>IF(settings!$B$4=0,Calculations!H86,Calculations!I86) *'Front page'!$B$11</f>
        <v>157.80000000000001</v>
      </c>
      <c r="R86" s="28">
        <f>ROUND(I86*'Front page'!$B$9,2)</f>
        <v>0</v>
      </c>
      <c r="S86" s="27">
        <f>J86*'Front page'!$B$14</f>
        <v>1.5</v>
      </c>
      <c r="T86" s="81">
        <f>'Front page'!$B$16*Calculations!K86</f>
        <v>9.0726852941176475</v>
      </c>
      <c r="U86" s="81">
        <f>IF(settings!$B$13=0,(Calculations!M86*'Economic Adjustment'!O85)-Calculations!M86,0)</f>
        <v>0</v>
      </c>
      <c r="V86" s="154">
        <f>VLOOKUP(B86,'Remote School Building Weight'!$M$2:$P$174,3,FALSE)</f>
        <v>0</v>
      </c>
      <c r="W86" s="23">
        <f>'Small Dist Weight'!V85-Calculations!D86</f>
        <v>0</v>
      </c>
      <c r="X86" s="23">
        <f>IF(settings!$P$9=0,'Large District Weight'!H85*'Large District Weight'!G85,0)</f>
        <v>0</v>
      </c>
      <c r="Y86" s="23">
        <f t="shared" si="13"/>
        <v>5035.5873421568631</v>
      </c>
      <c r="Z86" s="23">
        <f>IF(settings!$F$13=0,'Teacher Exp'!L86,0)</f>
        <v>0</v>
      </c>
      <c r="AA86" s="23">
        <f t="shared" si="14"/>
        <v>5035.5873421568631</v>
      </c>
      <c r="AC86" s="24">
        <f>'Student Enrollment Data'!BU87</f>
        <v>312</v>
      </c>
      <c r="AD86" s="24">
        <f t="shared" si="15"/>
        <v>453.6342647058824</v>
      </c>
      <c r="AE86" s="24">
        <f>AD86*'Front page'!$B$16</f>
        <v>9.0726852941176475</v>
      </c>
      <c r="AG86" s="6">
        <f>M86*'Front page'!$E$3</f>
        <v>22272157.090521436</v>
      </c>
      <c r="AH86" s="6">
        <f>N86*'Front page'!$E$3</f>
        <v>610768.75307407498</v>
      </c>
      <c r="AI86" s="6">
        <f>O86*'Front page'!$E$3</f>
        <v>727973.55742546788</v>
      </c>
      <c r="AJ86" s="6">
        <f>P86*'Front page'!$E$3</f>
        <v>285745.50987870712</v>
      </c>
      <c r="AK86" s="6">
        <f>Q86*'Front page'!$E$3</f>
        <v>774753.28967113374</v>
      </c>
      <c r="AL86" s="6">
        <f>S86*'Front page'!$E$3</f>
        <v>7364.5749968738946</v>
      </c>
      <c r="AM86" s="5">
        <f>Z86*'Front page'!$E$3</f>
        <v>0</v>
      </c>
      <c r="AN86" s="6">
        <f>T86*'Front page'!$E$3</f>
        <v>44544.314181042871</v>
      </c>
      <c r="AO86" s="6">
        <f>U86*'Front page'!$E$3</f>
        <v>0</v>
      </c>
      <c r="AP86" s="6">
        <f>W86*'Front page'!$E$3</f>
        <v>0</v>
      </c>
      <c r="AQ86" s="6">
        <f>V86*'Front page'!$E$3</f>
        <v>0</v>
      </c>
      <c r="AR86" s="6">
        <f>X86*'Front page'!$E$3</f>
        <v>0</v>
      </c>
      <c r="AS86" s="6">
        <f t="shared" si="16"/>
        <v>24723307.08974874</v>
      </c>
      <c r="AT86" s="7">
        <f>IF(AS86&gt;'Funding Comparison'!D86*(1+'Front page'!$H$10),'Funding Comparison'!D86*(1+'Front page'!$H$10),AS86)</f>
        <v>2550829.8165000002</v>
      </c>
    </row>
    <row r="87" spans="1:46">
      <c r="A87" t="str">
        <f t="shared" si="9"/>
        <v>341</v>
      </c>
      <c r="B87">
        <f t="shared" si="11"/>
        <v>341</v>
      </c>
      <c r="C87" s="14" t="s">
        <v>95</v>
      </c>
      <c r="D87">
        <f>IF(settings!$G$4=0,'Student Enrollment Data'!AX88,'Student Enrollment Data'!CK88)</f>
        <v>481.5</v>
      </c>
      <c r="E87">
        <f>IF(settings!$G$4=0,'Student Enrollment Data'!AY88,'Student Enrollment Data'!CL88)</f>
        <v>148.5</v>
      </c>
      <c r="F87">
        <f>IF(settings!$G$4=0,'Student Enrollment Data'!AZ88,'Student Enrollment Data'!CM88)</f>
        <v>129</v>
      </c>
      <c r="G87" s="23">
        <f>'Student Enrollment Data'!BK88</f>
        <v>102</v>
      </c>
      <c r="H87">
        <f>'Student Enrollment Data'!BF88</f>
        <v>216.7</v>
      </c>
      <c r="I87">
        <f>SUM('Student Enrollment Data'!R88:X88,'Student Enrollment Data'!AQ88:AW88)</f>
        <v>0</v>
      </c>
      <c r="J87">
        <f>'Student Enrollment Data'!BS88</f>
        <v>0</v>
      </c>
      <c r="K87">
        <f t="shared" si="12"/>
        <v>48.150000000000006</v>
      </c>
      <c r="M87" s="27">
        <f t="shared" si="10"/>
        <v>481.5</v>
      </c>
      <c r="N87" s="27">
        <f>E87*'Front page'!$B$20</f>
        <v>14.850000000000001</v>
      </c>
      <c r="O87" s="27">
        <f>F87*'Front page'!$B$21</f>
        <v>12.9</v>
      </c>
      <c r="P87">
        <f>G87*'Front page'!$B$18</f>
        <v>10.200000000000001</v>
      </c>
      <c r="Q87" s="27">
        <f>IF(settings!$B$4=0,Calculations!H87,Calculations!I87) *'Front page'!$B$11</f>
        <v>21.67</v>
      </c>
      <c r="R87" s="28">
        <f>ROUND(I87*'Front page'!$B$9,2)</f>
        <v>0</v>
      </c>
      <c r="S87" s="27">
        <f>J87*'Front page'!$B$14</f>
        <v>0</v>
      </c>
      <c r="T87" s="81">
        <f>'Front page'!$B$16*Calculations!K87</f>
        <v>0.96300000000000019</v>
      </c>
      <c r="U87" s="81">
        <f>IF(settings!$B$13=0,(Calculations!M87*'Economic Adjustment'!O86)-Calculations!M87,0)</f>
        <v>0</v>
      </c>
      <c r="V87" s="154">
        <f>VLOOKUP(B87,'Remote School Building Weight'!$M$2:$P$174,3,FALSE)</f>
        <v>0</v>
      </c>
      <c r="W87" s="23">
        <f>'Small Dist Weight'!V86-Calculations!D87</f>
        <v>172.98424960815055</v>
      </c>
      <c r="X87" s="23">
        <f>IF(settings!$P$9=0,'Large District Weight'!H86*'Large District Weight'!G86,0)</f>
        <v>0</v>
      </c>
      <c r="Y87" s="23">
        <f t="shared" si="13"/>
        <v>715.06724960815052</v>
      </c>
      <c r="Z87" s="23">
        <f>IF(settings!$F$13=0,'Teacher Exp'!L87,0)</f>
        <v>0</v>
      </c>
      <c r="AA87" s="23">
        <f t="shared" si="14"/>
        <v>715.06724960815052</v>
      </c>
      <c r="AC87" s="24">
        <f>'Student Enrollment Data'!BU88</f>
        <v>21</v>
      </c>
      <c r="AD87" s="24">
        <f t="shared" si="15"/>
        <v>48.150000000000006</v>
      </c>
      <c r="AE87" s="24">
        <f>AD87*'Front page'!$B$16</f>
        <v>0.96300000000000019</v>
      </c>
      <c r="AG87" s="6">
        <f>M87*'Front page'!$E$3</f>
        <v>2364028.5739965201</v>
      </c>
      <c r="AH87" s="6">
        <f>N87*'Front page'!$E$3</f>
        <v>72909.292469051565</v>
      </c>
      <c r="AI87" s="6">
        <f>O87*'Front page'!$E$3</f>
        <v>63335.344973115498</v>
      </c>
      <c r="AJ87" s="6">
        <f>P87*'Front page'!$E$3</f>
        <v>50079.10997874249</v>
      </c>
      <c r="AK87" s="6">
        <f>Q87*'Front page'!$E$3</f>
        <v>106393.56012150487</v>
      </c>
      <c r="AL87" s="6">
        <f>S87*'Front page'!$E$3</f>
        <v>0</v>
      </c>
      <c r="AM87" s="5">
        <f>Z87*'Front page'!$E$3</f>
        <v>0</v>
      </c>
      <c r="AN87" s="6">
        <f>T87*'Front page'!$E$3</f>
        <v>4728.0571479930413</v>
      </c>
      <c r="AO87" s="6">
        <f>U87*'Front page'!$E$3</f>
        <v>0</v>
      </c>
      <c r="AP87" s="6">
        <f>W87*'Front page'!$E$3</f>
        <v>849303.65301145217</v>
      </c>
      <c r="AQ87" s="6">
        <f>V87*'Front page'!$E$3</f>
        <v>0</v>
      </c>
      <c r="AR87" s="6">
        <f>X87*'Front page'!$E$3</f>
        <v>0</v>
      </c>
      <c r="AS87" s="6">
        <f t="shared" si="16"/>
        <v>3510777.5916983802</v>
      </c>
      <c r="AT87" s="7">
        <f>IF(AS87&gt;'Funding Comparison'!D87*(1+'Front page'!$H$10),'Funding Comparison'!D87*(1+'Front page'!$H$10),AS87)</f>
        <v>2711553.8835</v>
      </c>
    </row>
    <row r="88" spans="1:46">
      <c r="A88" t="str">
        <f t="shared" si="9"/>
        <v>342</v>
      </c>
      <c r="B88">
        <f t="shared" si="11"/>
        <v>342</v>
      </c>
      <c r="C88" s="14" t="s">
        <v>96</v>
      </c>
      <c r="D88">
        <f>IF(settings!$G$4=0,'Student Enrollment Data'!AX89,'Student Enrollment Data'!CK89)</f>
        <v>85</v>
      </c>
      <c r="E88">
        <f>IF(settings!$G$4=0,'Student Enrollment Data'!AY89,'Student Enrollment Data'!CL89)</f>
        <v>23</v>
      </c>
      <c r="F88">
        <f>IF(settings!$G$4=0,'Student Enrollment Data'!AZ89,'Student Enrollment Data'!CM89)</f>
        <v>29</v>
      </c>
      <c r="G88" s="23">
        <f>'Student Enrollment Data'!BK89</f>
        <v>17</v>
      </c>
      <c r="H88">
        <f>'Student Enrollment Data'!BF89</f>
        <v>50</v>
      </c>
      <c r="I88">
        <f>SUM('Student Enrollment Data'!R89:X89,'Student Enrollment Data'!AQ89:AW89)</f>
        <v>0</v>
      </c>
      <c r="J88">
        <f>'Student Enrollment Data'!BS89</f>
        <v>0</v>
      </c>
      <c r="K88">
        <f t="shared" si="12"/>
        <v>8.5</v>
      </c>
      <c r="M88" s="27">
        <f t="shared" si="10"/>
        <v>85</v>
      </c>
      <c r="N88" s="27">
        <f>E88*'Front page'!$B$20</f>
        <v>2.3000000000000003</v>
      </c>
      <c r="O88" s="27">
        <f>F88*'Front page'!$B$21</f>
        <v>2.9000000000000004</v>
      </c>
      <c r="P88">
        <f>G88*'Front page'!$B$18</f>
        <v>1.7000000000000002</v>
      </c>
      <c r="Q88" s="27">
        <f>IF(settings!$B$4=0,Calculations!H88,Calculations!I88) *'Front page'!$B$11</f>
        <v>5</v>
      </c>
      <c r="R88" s="28">
        <f>ROUND(I88*'Front page'!$B$9,2)</f>
        <v>0</v>
      </c>
      <c r="S88" s="27">
        <f>J88*'Front page'!$B$14</f>
        <v>0</v>
      </c>
      <c r="T88" s="81">
        <f>'Front page'!$B$16*Calculations!K88</f>
        <v>0.17</v>
      </c>
      <c r="U88" s="81">
        <f>IF(settings!$B$13=0,(Calculations!M88*'Economic Adjustment'!O87)-Calculations!M88,0)</f>
        <v>0</v>
      </c>
      <c r="V88" s="154">
        <f>VLOOKUP(B88,'Remote School Building Weight'!$M$2:$P$174,3,FALSE)</f>
        <v>0</v>
      </c>
      <c r="W88" s="23">
        <f>'Small Dist Weight'!V87-Calculations!D88</f>
        <v>182.85655172413794</v>
      </c>
      <c r="X88" s="23">
        <f>IF(settings!$P$9=0,'Large District Weight'!H87*'Large District Weight'!G87,0)</f>
        <v>0</v>
      </c>
      <c r="Y88" s="23">
        <f t="shared" si="13"/>
        <v>279.92655172413794</v>
      </c>
      <c r="Z88" s="23">
        <f>IF(settings!$F$13=0,'Teacher Exp'!L88,0)</f>
        <v>0</v>
      </c>
      <c r="AA88" s="23">
        <f t="shared" si="14"/>
        <v>279.92655172413794</v>
      </c>
      <c r="AC88" s="24">
        <f>'Student Enrollment Data'!BU89</f>
        <v>0</v>
      </c>
      <c r="AD88" s="24">
        <f t="shared" si="15"/>
        <v>8.5</v>
      </c>
      <c r="AE88" s="24">
        <f>AD88*'Front page'!$B$16</f>
        <v>0.17</v>
      </c>
      <c r="AG88" s="6">
        <f>M88*'Front page'!$E$3</f>
        <v>417325.91648952069</v>
      </c>
      <c r="AH88" s="6">
        <f>N88*'Front page'!$E$3</f>
        <v>11292.348328539972</v>
      </c>
      <c r="AI88" s="6">
        <f>O88*'Front page'!$E$3</f>
        <v>14238.178327289532</v>
      </c>
      <c r="AJ88" s="6">
        <f>P88*'Front page'!$E$3</f>
        <v>8346.518329790415</v>
      </c>
      <c r="AK88" s="6">
        <f>Q88*'Front page'!$E$3</f>
        <v>24548.583322912982</v>
      </c>
      <c r="AL88" s="6">
        <f>S88*'Front page'!$E$3</f>
        <v>0</v>
      </c>
      <c r="AM88" s="5">
        <f>Z88*'Front page'!$E$3</f>
        <v>0</v>
      </c>
      <c r="AN88" s="6">
        <f>T88*'Front page'!$E$3</f>
        <v>834.6518329790415</v>
      </c>
      <c r="AO88" s="6">
        <f>U88*'Front page'!$E$3</f>
        <v>0</v>
      </c>
      <c r="AP88" s="6">
        <f>W88*'Front page'!$E$3</f>
        <v>897773.85922810959</v>
      </c>
      <c r="AQ88" s="6">
        <f>V88*'Front page'!$E$3</f>
        <v>0</v>
      </c>
      <c r="AR88" s="6">
        <f>X88*'Front page'!$E$3</f>
        <v>0</v>
      </c>
      <c r="AS88" s="6">
        <f t="shared" si="16"/>
        <v>1374360.0558591422</v>
      </c>
      <c r="AT88" s="7">
        <f>IF(AS88&gt;'Funding Comparison'!D88*(1+'Front page'!$H$10),'Funding Comparison'!D88*(1+'Front page'!$H$10),AS88)</f>
        <v>1374360.0558591422</v>
      </c>
    </row>
    <row r="89" spans="1:46">
      <c r="A89" t="str">
        <f t="shared" si="9"/>
        <v>351</v>
      </c>
      <c r="B89">
        <f t="shared" si="11"/>
        <v>351</v>
      </c>
      <c r="C89" s="14" t="s">
        <v>97</v>
      </c>
      <c r="D89">
        <f>IF(settings!$G$4=0,'Student Enrollment Data'!AX90,'Student Enrollment Data'!CK90)</f>
        <v>2273</v>
      </c>
      <c r="E89">
        <f>IF(settings!$G$4=0,'Student Enrollment Data'!AY90,'Student Enrollment Data'!CL90)</f>
        <v>901</v>
      </c>
      <c r="F89">
        <f>IF(settings!$G$4=0,'Student Enrollment Data'!AZ90,'Student Enrollment Data'!CM90)</f>
        <v>224</v>
      </c>
      <c r="G89" s="23">
        <f>'Student Enrollment Data'!BK90</f>
        <v>130</v>
      </c>
      <c r="H89">
        <f>'Student Enrollment Data'!BF90</f>
        <v>1902</v>
      </c>
      <c r="I89">
        <f>SUM('Student Enrollment Data'!R90:X90,'Student Enrollment Data'!AQ90:AW90)</f>
        <v>12.18402777777778</v>
      </c>
      <c r="J89">
        <f>'Student Enrollment Data'!BS90</f>
        <v>6</v>
      </c>
      <c r="K89">
        <f t="shared" si="12"/>
        <v>227.3</v>
      </c>
      <c r="M89" s="27">
        <f t="shared" si="10"/>
        <v>2273</v>
      </c>
      <c r="N89" s="27">
        <f>E89*'Front page'!$B$20</f>
        <v>90.100000000000009</v>
      </c>
      <c r="O89" s="27">
        <f>F89*'Front page'!$B$21</f>
        <v>22.400000000000002</v>
      </c>
      <c r="P89">
        <f>G89*'Front page'!$B$18</f>
        <v>13</v>
      </c>
      <c r="Q89" s="27">
        <f>IF(settings!$B$4=0,Calculations!H89,Calculations!I89) *'Front page'!$B$11</f>
        <v>190.20000000000002</v>
      </c>
      <c r="R89" s="28">
        <f>ROUND(I89*'Front page'!$B$9,2)</f>
        <v>0</v>
      </c>
      <c r="S89" s="27">
        <f>J89*'Front page'!$B$14</f>
        <v>0.60000000000000009</v>
      </c>
      <c r="T89" s="81">
        <f>'Front page'!$B$16*Calculations!K89</f>
        <v>4.5460000000000003</v>
      </c>
      <c r="U89" s="81">
        <f>IF(settings!$B$13=0,(Calculations!M89*'Economic Adjustment'!O88)-Calculations!M89,0)</f>
        <v>0</v>
      </c>
      <c r="V89" s="154">
        <f>VLOOKUP(B89,'Remote School Building Weight'!$M$2:$P$174,3,FALSE)</f>
        <v>13.020711864406751</v>
      </c>
      <c r="W89" s="23">
        <f>'Small Dist Weight'!V88-Calculations!D89</f>
        <v>92.859224137931051</v>
      </c>
      <c r="X89" s="23">
        <f>IF(settings!$P$9=0,'Large District Weight'!H88*'Large District Weight'!G88,0)</f>
        <v>0</v>
      </c>
      <c r="Y89" s="23">
        <f t="shared" si="13"/>
        <v>2699.7259360023372</v>
      </c>
      <c r="Z89" s="23">
        <f>IF(settings!$F$13=0,'Teacher Exp'!L89,0)</f>
        <v>0</v>
      </c>
      <c r="AA89" s="23">
        <f t="shared" si="14"/>
        <v>2699.7259360023372</v>
      </c>
      <c r="AC89" s="24">
        <f>'Student Enrollment Data'!BU90</f>
        <v>83</v>
      </c>
      <c r="AD89" s="24">
        <f t="shared" si="15"/>
        <v>227.3</v>
      </c>
      <c r="AE89" s="24">
        <f>AD89*'Front page'!$B$16</f>
        <v>4.5460000000000003</v>
      </c>
      <c r="AG89" s="6">
        <f>M89*'Front page'!$E$3</f>
        <v>11159785.978596242</v>
      </c>
      <c r="AH89" s="6">
        <f>N89*'Front page'!$E$3</f>
        <v>442365.47147889197</v>
      </c>
      <c r="AI89" s="6">
        <f>O89*'Front page'!$E$3</f>
        <v>109977.65328665017</v>
      </c>
      <c r="AJ89" s="6">
        <f>P89*'Front page'!$E$3</f>
        <v>63826.31663957375</v>
      </c>
      <c r="AK89" s="6">
        <f>Q89*'Front page'!$E$3</f>
        <v>933828.10960360989</v>
      </c>
      <c r="AL89" s="6">
        <f>S89*'Front page'!$E$3</f>
        <v>2945.8299987495584</v>
      </c>
      <c r="AM89" s="5">
        <f>Z89*'Front page'!$E$3</f>
        <v>0</v>
      </c>
      <c r="AN89" s="6">
        <f>T89*'Front page'!$E$3</f>
        <v>22319.571957192486</v>
      </c>
      <c r="AO89" s="6">
        <f>U89*'Front page'!$E$3</f>
        <v>0</v>
      </c>
      <c r="AP89" s="6">
        <f>W89*'Front page'!$E$3</f>
        <v>455912.48021021055</v>
      </c>
      <c r="AQ89" s="6">
        <f>V89*'Front page'!$E$3</f>
        <v>63928.006025406154</v>
      </c>
      <c r="AR89" s="6">
        <f>X89*'Front page'!$E$3</f>
        <v>0</v>
      </c>
      <c r="AS89" s="6">
        <f t="shared" si="16"/>
        <v>13254889.41779653</v>
      </c>
      <c r="AT89" s="7">
        <f>IF(AS89&gt;'Funding Comparison'!D89*(1+'Front page'!$H$10),'Funding Comparison'!D89*(1+'Front page'!$H$10),AS89)</f>
        <v>2843489.8589999997</v>
      </c>
    </row>
    <row r="90" spans="1:46">
      <c r="A90" t="str">
        <f t="shared" si="9"/>
        <v>363</v>
      </c>
      <c r="B90">
        <f t="shared" si="11"/>
        <v>363</v>
      </c>
      <c r="C90" s="14" t="s">
        <v>98</v>
      </c>
      <c r="D90">
        <f>IF(settings!$G$4=0,'Student Enrollment Data'!AX91,'Student Enrollment Data'!CK91)</f>
        <v>826.5</v>
      </c>
      <c r="E90">
        <f>IF(settings!$G$4=0,'Student Enrollment Data'!AY91,'Student Enrollment Data'!CL91)</f>
        <v>217.5</v>
      </c>
      <c r="F90">
        <f>IF(settings!$G$4=0,'Student Enrollment Data'!AZ91,'Student Enrollment Data'!CM91)</f>
        <v>265</v>
      </c>
      <c r="G90" s="23">
        <f>'Student Enrollment Data'!BK91</f>
        <v>73</v>
      </c>
      <c r="H90">
        <f>'Student Enrollment Data'!BF91</f>
        <v>561</v>
      </c>
      <c r="I90">
        <f>SUM('Student Enrollment Data'!R91:X91,'Student Enrollment Data'!AQ91:AW91)</f>
        <v>0</v>
      </c>
      <c r="J90">
        <f>'Student Enrollment Data'!BS91</f>
        <v>143</v>
      </c>
      <c r="K90">
        <f t="shared" si="12"/>
        <v>82.65</v>
      </c>
      <c r="M90" s="27">
        <f t="shared" si="10"/>
        <v>826.5</v>
      </c>
      <c r="N90" s="27">
        <f>E90*'Front page'!$B$20</f>
        <v>21.75</v>
      </c>
      <c r="O90" s="27">
        <f>F90*'Front page'!$B$21</f>
        <v>26.5</v>
      </c>
      <c r="P90">
        <f>G90*'Front page'!$B$18</f>
        <v>7.3000000000000007</v>
      </c>
      <c r="Q90" s="27">
        <f>IF(settings!$B$4=0,Calculations!H90,Calculations!I90) *'Front page'!$B$11</f>
        <v>56.1</v>
      </c>
      <c r="R90" s="28">
        <f>ROUND(I90*'Front page'!$B$9,2)</f>
        <v>0</v>
      </c>
      <c r="S90" s="27">
        <f>J90*'Front page'!$B$14</f>
        <v>14.3</v>
      </c>
      <c r="T90" s="81">
        <f>'Front page'!$B$16*Calculations!K90</f>
        <v>1.6530000000000002</v>
      </c>
      <c r="U90" s="81">
        <f>IF(settings!$B$13=0,(Calculations!M90*'Economic Adjustment'!O89)-Calculations!M90,0)</f>
        <v>0</v>
      </c>
      <c r="V90" s="154">
        <f>VLOOKUP(B90,'Remote School Building Weight'!$M$2:$P$174,3,FALSE)</f>
        <v>0</v>
      </c>
      <c r="W90" s="23">
        <f>'Small Dist Weight'!V89-Calculations!D90</f>
        <v>128.72275862068966</v>
      </c>
      <c r="X90" s="23">
        <f>IF(settings!$P$9=0,'Large District Weight'!H89*'Large District Weight'!G89,0)</f>
        <v>0</v>
      </c>
      <c r="Y90" s="23">
        <f t="shared" si="13"/>
        <v>1082.8257586206896</v>
      </c>
      <c r="Z90" s="23">
        <f>IF(settings!$F$13=0,'Teacher Exp'!L90,0)</f>
        <v>0</v>
      </c>
      <c r="AA90" s="23">
        <f t="shared" si="14"/>
        <v>1082.8257586206896</v>
      </c>
      <c r="AC90" s="24">
        <f>'Student Enrollment Data'!BU91</f>
        <v>33</v>
      </c>
      <c r="AD90" s="24">
        <f t="shared" si="15"/>
        <v>82.65</v>
      </c>
      <c r="AE90" s="24">
        <f>AD90*'Front page'!$B$16</f>
        <v>1.6530000000000002</v>
      </c>
      <c r="AG90" s="6">
        <f>M90*'Front page'!$E$3</f>
        <v>4057880.8232775158</v>
      </c>
      <c r="AH90" s="6">
        <f>N90*'Front page'!$E$3</f>
        <v>106786.33745467148</v>
      </c>
      <c r="AI90" s="6">
        <f>O90*'Front page'!$E$3</f>
        <v>130107.4916114388</v>
      </c>
      <c r="AJ90" s="6">
        <f>P90*'Front page'!$E$3</f>
        <v>35840.931651452956</v>
      </c>
      <c r="AK90" s="6">
        <f>Q90*'Front page'!$E$3</f>
        <v>275435.10488308367</v>
      </c>
      <c r="AL90" s="6">
        <f>S90*'Front page'!$E$3</f>
        <v>70208.948303531128</v>
      </c>
      <c r="AM90" s="5">
        <f>Z90*'Front page'!$E$3</f>
        <v>0</v>
      </c>
      <c r="AN90" s="6">
        <f>T90*'Front page'!$E$3</f>
        <v>8115.7616465550327</v>
      </c>
      <c r="AO90" s="6">
        <f>U90*'Front page'!$E$3</f>
        <v>0</v>
      </c>
      <c r="AP90" s="6">
        <f>W90*'Front page'!$E$3</f>
        <v>631992.27311104315</v>
      </c>
      <c r="AQ90" s="6">
        <f>V90*'Front page'!$E$3</f>
        <v>0</v>
      </c>
      <c r="AR90" s="6">
        <f>X90*'Front page'!$E$3</f>
        <v>0</v>
      </c>
      <c r="AS90" s="6">
        <f t="shared" si="16"/>
        <v>5316367.671939292</v>
      </c>
      <c r="AT90" s="7">
        <f>IF(AS90&gt;'Funding Comparison'!D90*(1+'Front page'!$H$10),'Funding Comparison'!D90*(1+'Front page'!$H$10),AS90)</f>
        <v>3016320.1529999999</v>
      </c>
    </row>
    <row r="91" spans="1:46">
      <c r="A91" t="str">
        <f t="shared" si="9"/>
        <v>364</v>
      </c>
      <c r="B91">
        <f t="shared" si="11"/>
        <v>364</v>
      </c>
      <c r="C91" s="14" t="s">
        <v>99</v>
      </c>
      <c r="D91">
        <f>IF(settings!$G$4=0,'Student Enrollment Data'!AX92,'Student Enrollment Data'!CK92)</f>
        <v>6</v>
      </c>
      <c r="E91">
        <f>IF(settings!$G$4=0,'Student Enrollment Data'!AY92,'Student Enrollment Data'!CL92)</f>
        <v>4</v>
      </c>
      <c r="F91">
        <f>IF(settings!$G$4=0,'Student Enrollment Data'!AZ92,'Student Enrollment Data'!CM92)</f>
        <v>0</v>
      </c>
      <c r="G91" s="23">
        <f>'Student Enrollment Data'!BK92</f>
        <v>1.0160932441191366</v>
      </c>
      <c r="H91">
        <f>'Student Enrollment Data'!BF92</f>
        <v>2.58</v>
      </c>
      <c r="I91">
        <f>SUM('Student Enrollment Data'!R92:X92,'Student Enrollment Data'!AQ92:AW92)</f>
        <v>0</v>
      </c>
      <c r="J91">
        <f>'Student Enrollment Data'!BS92</f>
        <v>0</v>
      </c>
      <c r="K91">
        <f t="shared" si="12"/>
        <v>3</v>
      </c>
      <c r="M91" s="27">
        <f t="shared" si="10"/>
        <v>30</v>
      </c>
      <c r="N91" s="27">
        <f>E91*'Front page'!$B$20</f>
        <v>0.4</v>
      </c>
      <c r="O91" s="27">
        <f>F91*'Front page'!$B$21</f>
        <v>0</v>
      </c>
      <c r="P91">
        <f>G91*'Front page'!$B$18</f>
        <v>0.10160932441191367</v>
      </c>
      <c r="Q91" s="27">
        <f>IF(settings!$B$4=0,Calculations!H91,Calculations!I91) *'Front page'!$B$11</f>
        <v>0.25800000000000001</v>
      </c>
      <c r="R91" s="28">
        <f>ROUND(I91*'Front page'!$B$9,2)</f>
        <v>0</v>
      </c>
      <c r="S91" s="27">
        <f>J91*'Front page'!$B$14</f>
        <v>0</v>
      </c>
      <c r="T91" s="81">
        <f>'Front page'!$B$16*Calculations!K91</f>
        <v>0.06</v>
      </c>
      <c r="U91" s="81">
        <f>IF(settings!$B$13=0,(Calculations!M91*'Economic Adjustment'!O90)-Calculations!M91,0)</f>
        <v>0</v>
      </c>
      <c r="V91" s="154">
        <f>VLOOKUP(B91,'Remote School Building Weight'!$M$2:$P$174,3,FALSE)</f>
        <v>0</v>
      </c>
      <c r="W91" s="23">
        <f>'Small Dist Weight'!V90-Calculations!D91</f>
        <v>6.2999999999999989</v>
      </c>
      <c r="X91" s="23">
        <f>IF(settings!$P$9=0,'Large District Weight'!H90*'Large District Weight'!G90,0)</f>
        <v>0</v>
      </c>
      <c r="Y91" s="23">
        <f t="shared" si="13"/>
        <v>37.119609324411911</v>
      </c>
      <c r="Z91" s="23">
        <f>IF(settings!$F$13=0,'Teacher Exp'!L91,0)</f>
        <v>0</v>
      </c>
      <c r="AA91" s="23">
        <f t="shared" si="14"/>
        <v>37.119609324411911</v>
      </c>
      <c r="AC91" s="24">
        <f>'Student Enrollment Data'!BU92</f>
        <v>0</v>
      </c>
      <c r="AD91" s="24">
        <f t="shared" si="15"/>
        <v>3</v>
      </c>
      <c r="AE91" s="24">
        <f>AD91*'Front page'!$B$16</f>
        <v>0.06</v>
      </c>
      <c r="AG91" s="6">
        <f>M91*'Front page'!$E$3</f>
        <v>147291.4999374779</v>
      </c>
      <c r="AH91" s="6">
        <f>N91*'Front page'!$E$3</f>
        <v>1963.8866658330387</v>
      </c>
      <c r="AI91" s="6">
        <f>O91*'Front page'!$E$3</f>
        <v>0</v>
      </c>
      <c r="AJ91" s="6">
        <f>P91*'Front page'!$E$3</f>
        <v>498.8729933421518</v>
      </c>
      <c r="AK91" s="6">
        <f>Q91*'Front page'!$E$3</f>
        <v>1266.7068994623098</v>
      </c>
      <c r="AL91" s="6">
        <f>S91*'Front page'!$E$3</f>
        <v>0</v>
      </c>
      <c r="AM91" s="5">
        <f>Z91*'Front page'!$E$3</f>
        <v>0</v>
      </c>
      <c r="AN91" s="6">
        <f>T91*'Front page'!$E$3</f>
        <v>294.58299987495576</v>
      </c>
      <c r="AO91" s="6">
        <f>U91*'Front page'!$E$3</f>
        <v>0</v>
      </c>
      <c r="AP91" s="6">
        <f>W91*'Front page'!$E$3</f>
        <v>30931.214986870353</v>
      </c>
      <c r="AQ91" s="6">
        <f>V91*'Front page'!$E$3</f>
        <v>0</v>
      </c>
      <c r="AR91" s="6">
        <f>X91*'Front page'!$E$3</f>
        <v>0</v>
      </c>
      <c r="AS91" s="6">
        <f t="shared" si="16"/>
        <v>182246.76448286069</v>
      </c>
      <c r="AT91" s="7">
        <f>IF(AS91&gt;'Funding Comparison'!D91*(1+'Front page'!$H$10),'Funding Comparison'!D91*(1+'Front page'!$H$10),AS91)</f>
        <v>182246.76448286069</v>
      </c>
    </row>
    <row r="92" spans="1:46">
      <c r="A92" t="str">
        <f t="shared" si="9"/>
        <v>365</v>
      </c>
      <c r="B92">
        <f t="shared" si="11"/>
        <v>365</v>
      </c>
      <c r="C92" s="14" t="s">
        <v>100</v>
      </c>
      <c r="D92">
        <f>IF(settings!$G$4=0,'Student Enrollment Data'!AX93,'Student Enrollment Data'!CK93)</f>
        <v>290.5</v>
      </c>
      <c r="E92">
        <f>IF(settings!$G$4=0,'Student Enrollment Data'!AY93,'Student Enrollment Data'!CL93)</f>
        <v>68.5</v>
      </c>
      <c r="F92">
        <f>IF(settings!$G$4=0,'Student Enrollment Data'!AZ93,'Student Enrollment Data'!CM93)</f>
        <v>96</v>
      </c>
      <c r="G92" s="23">
        <f>'Student Enrollment Data'!BK93</f>
        <v>32</v>
      </c>
      <c r="H92">
        <f>'Student Enrollment Data'!BF93</f>
        <v>180</v>
      </c>
      <c r="I92">
        <f>SUM('Student Enrollment Data'!R93:X93,'Student Enrollment Data'!AQ93:AW93)</f>
        <v>0</v>
      </c>
      <c r="J92">
        <f>'Student Enrollment Data'!BS93</f>
        <v>53</v>
      </c>
      <c r="K92">
        <f t="shared" si="12"/>
        <v>29.05</v>
      </c>
      <c r="M92" s="27">
        <f t="shared" si="10"/>
        <v>290.5</v>
      </c>
      <c r="N92" s="27">
        <f>E92*'Front page'!$B$20</f>
        <v>6.8500000000000005</v>
      </c>
      <c r="O92" s="27">
        <f>F92*'Front page'!$B$21</f>
        <v>9.6000000000000014</v>
      </c>
      <c r="P92">
        <f>G92*'Front page'!$B$18</f>
        <v>3.2</v>
      </c>
      <c r="Q92" s="27">
        <f>IF(settings!$B$4=0,Calculations!H92,Calculations!I92) *'Front page'!$B$11</f>
        <v>18</v>
      </c>
      <c r="R92" s="28">
        <f>ROUND(I92*'Front page'!$B$9,2)</f>
        <v>0</v>
      </c>
      <c r="S92" s="27">
        <f>J92*'Front page'!$B$14</f>
        <v>5.3000000000000007</v>
      </c>
      <c r="T92" s="81">
        <f>'Front page'!$B$16*Calculations!K92</f>
        <v>0.58100000000000007</v>
      </c>
      <c r="U92" s="81">
        <f>IF(settings!$B$13=0,(Calculations!M92*'Economic Adjustment'!O91)-Calculations!M92,0)</f>
        <v>0</v>
      </c>
      <c r="V92" s="154">
        <f>VLOOKUP(B92,'Remote School Building Weight'!$M$2:$P$174,3,FALSE)</f>
        <v>43.498948320961446</v>
      </c>
      <c r="W92" s="23">
        <f>'Small Dist Weight'!V91-Calculations!D92</f>
        <v>167.62406543887153</v>
      </c>
      <c r="X92" s="23">
        <f>IF(settings!$P$9=0,'Large District Weight'!H91*'Large District Weight'!G91,0)</f>
        <v>0</v>
      </c>
      <c r="Y92" s="23">
        <f t="shared" si="13"/>
        <v>545.15401375983311</v>
      </c>
      <c r="Z92" s="23">
        <f>IF(settings!$F$13=0,'Teacher Exp'!L92,0)</f>
        <v>0</v>
      </c>
      <c r="AA92" s="23">
        <f t="shared" si="14"/>
        <v>545.15401375983311</v>
      </c>
      <c r="AC92" s="24">
        <f>'Student Enrollment Data'!BU93</f>
        <v>4</v>
      </c>
      <c r="AD92" s="24">
        <f t="shared" si="15"/>
        <v>29.05</v>
      </c>
      <c r="AE92" s="24">
        <f>AD92*'Front page'!$B$16</f>
        <v>0.58100000000000007</v>
      </c>
      <c r="AG92" s="6">
        <f>M92*'Front page'!$E$3</f>
        <v>1426272.6910612443</v>
      </c>
      <c r="AH92" s="6">
        <f>N92*'Front page'!$E$3</f>
        <v>33631.559152390786</v>
      </c>
      <c r="AI92" s="6">
        <f>O92*'Front page'!$E$3</f>
        <v>47133.279979992934</v>
      </c>
      <c r="AJ92" s="6">
        <f>P92*'Front page'!$E$3</f>
        <v>15711.09332666431</v>
      </c>
      <c r="AK92" s="6">
        <f>Q92*'Front page'!$E$3</f>
        <v>88374.899962486728</v>
      </c>
      <c r="AL92" s="6">
        <f>S92*'Front page'!$E$3</f>
        <v>26021.498322287764</v>
      </c>
      <c r="AM92" s="5">
        <f>Z92*'Front page'!$E$3</f>
        <v>0</v>
      </c>
      <c r="AN92" s="6">
        <f>T92*'Front page'!$E$3</f>
        <v>2852.5453821224887</v>
      </c>
      <c r="AO92" s="6">
        <f>U92*'Front page'!$E$3</f>
        <v>0</v>
      </c>
      <c r="AP92" s="6">
        <f>W92*'Front page'!$E$3</f>
        <v>822986.66747031116</v>
      </c>
      <c r="AQ92" s="6">
        <f>V92*'Front page'!$E$3</f>
        <v>213567.51146324156</v>
      </c>
      <c r="AR92" s="6">
        <f>X92*'Front page'!$E$3</f>
        <v>0</v>
      </c>
      <c r="AS92" s="6">
        <f t="shared" si="16"/>
        <v>2676551.7461207421</v>
      </c>
      <c r="AT92" s="7">
        <f>IF(AS92&gt;'Funding Comparison'!D92*(1+'Front page'!$H$10),'Funding Comparison'!D92*(1+'Front page'!$H$10),AS92)</f>
        <v>2676551.7461207421</v>
      </c>
    </row>
    <row r="93" spans="1:46">
      <c r="A93" t="str">
        <f t="shared" si="9"/>
        <v>370</v>
      </c>
      <c r="B93">
        <f t="shared" si="11"/>
        <v>370</v>
      </c>
      <c r="C93" s="14" t="s">
        <v>101</v>
      </c>
      <c r="D93">
        <f>IF(settings!$G$4=0,'Student Enrollment Data'!AX94,'Student Enrollment Data'!CK94)</f>
        <v>1168</v>
      </c>
      <c r="E93">
        <f>IF(settings!$G$4=0,'Student Enrollment Data'!AY94,'Student Enrollment Data'!CL94)</f>
        <v>312</v>
      </c>
      <c r="F93">
        <f>IF(settings!$G$4=0,'Student Enrollment Data'!AZ94,'Student Enrollment Data'!CM94)</f>
        <v>365</v>
      </c>
      <c r="G93" s="23">
        <f>'Student Enrollment Data'!BK94</f>
        <v>117</v>
      </c>
      <c r="H93">
        <f>'Student Enrollment Data'!BF94</f>
        <v>755</v>
      </c>
      <c r="I93">
        <f>SUM('Student Enrollment Data'!R94:X94,'Student Enrollment Data'!AQ94:AW94)</f>
        <v>0</v>
      </c>
      <c r="J93">
        <f>'Student Enrollment Data'!BS94</f>
        <v>196</v>
      </c>
      <c r="K93">
        <f t="shared" si="12"/>
        <v>116.80000000000001</v>
      </c>
      <c r="M93" s="27">
        <f t="shared" si="10"/>
        <v>1168</v>
      </c>
      <c r="N93" s="27">
        <f>E93*'Front page'!$B$20</f>
        <v>31.200000000000003</v>
      </c>
      <c r="O93" s="27">
        <f>F93*'Front page'!$B$21</f>
        <v>36.5</v>
      </c>
      <c r="P93">
        <f>G93*'Front page'!$B$18</f>
        <v>11.700000000000001</v>
      </c>
      <c r="Q93" s="27">
        <f>IF(settings!$B$4=0,Calculations!H93,Calculations!I93) *'Front page'!$B$11</f>
        <v>75.5</v>
      </c>
      <c r="R93" s="28">
        <f>ROUND(I93*'Front page'!$B$9,2)</f>
        <v>0</v>
      </c>
      <c r="S93" s="27">
        <f>J93*'Front page'!$B$14</f>
        <v>19.600000000000001</v>
      </c>
      <c r="T93" s="81">
        <f>'Front page'!$B$16*Calculations!K93</f>
        <v>2.3360000000000003</v>
      </c>
      <c r="U93" s="81">
        <f>IF(settings!$B$13=0,(Calculations!M93*'Economic Adjustment'!O92)-Calculations!M93,0)</f>
        <v>0</v>
      </c>
      <c r="V93" s="154">
        <f>VLOOKUP(B93,'Remote School Building Weight'!$M$2:$P$174,3,FALSE)</f>
        <v>0</v>
      </c>
      <c r="W93" s="23">
        <f>'Small Dist Weight'!V92-Calculations!D93</f>
        <v>105.05793103448286</v>
      </c>
      <c r="X93" s="23">
        <f>IF(settings!$P$9=0,'Large District Weight'!H92*'Large District Weight'!G92,0)</f>
        <v>0</v>
      </c>
      <c r="Y93" s="23">
        <f t="shared" si="13"/>
        <v>1449.8939310344829</v>
      </c>
      <c r="Z93" s="23">
        <f>IF(settings!$F$13=0,'Teacher Exp'!L93,0)</f>
        <v>0</v>
      </c>
      <c r="AA93" s="23">
        <f t="shared" si="14"/>
        <v>1449.8939310344829</v>
      </c>
      <c r="AC93" s="24">
        <f>'Student Enrollment Data'!BU94</f>
        <v>39</v>
      </c>
      <c r="AD93" s="24">
        <f t="shared" si="15"/>
        <v>116.80000000000001</v>
      </c>
      <c r="AE93" s="24">
        <f>AD93*'Front page'!$B$16</f>
        <v>2.3360000000000003</v>
      </c>
      <c r="AG93" s="6">
        <f>M93*'Front page'!$E$3</f>
        <v>5734549.0642324723</v>
      </c>
      <c r="AH93" s="6">
        <f>N93*'Front page'!$E$3</f>
        <v>153183.15993497701</v>
      </c>
      <c r="AI93" s="6">
        <f>O93*'Front page'!$E$3</f>
        <v>179204.65825726476</v>
      </c>
      <c r="AJ93" s="6">
        <f>P93*'Front page'!$E$3</f>
        <v>57443.684975616387</v>
      </c>
      <c r="AK93" s="6">
        <f>Q93*'Front page'!$E$3</f>
        <v>370683.60817598604</v>
      </c>
      <c r="AL93" s="6">
        <f>S93*'Front page'!$E$3</f>
        <v>96230.446625818891</v>
      </c>
      <c r="AM93" s="5">
        <f>Z93*'Front page'!$E$3</f>
        <v>0</v>
      </c>
      <c r="AN93" s="6">
        <f>T93*'Front page'!$E$3</f>
        <v>11469.098128464946</v>
      </c>
      <c r="AO93" s="6">
        <f>U93*'Front page'!$E$3</f>
        <v>0</v>
      </c>
      <c r="AP93" s="6">
        <f>W93*'Front page'!$E$3</f>
        <v>515804.67474656965</v>
      </c>
      <c r="AQ93" s="6">
        <f>V93*'Front page'!$E$3</f>
        <v>0</v>
      </c>
      <c r="AR93" s="6">
        <f>X93*'Front page'!$E$3</f>
        <v>0</v>
      </c>
      <c r="AS93" s="6">
        <f t="shared" si="16"/>
        <v>7118568.3950771699</v>
      </c>
      <c r="AT93" s="7">
        <f>IF(AS93&gt;'Funding Comparison'!D93*(1+'Front page'!$H$10),'Funding Comparison'!D93*(1+'Front page'!$H$10),AS93)</f>
        <v>2749321.1444999999</v>
      </c>
    </row>
    <row r="94" spans="1:46">
      <c r="A94" t="str">
        <f t="shared" si="9"/>
        <v>371</v>
      </c>
      <c r="B94">
        <f t="shared" si="11"/>
        <v>371</v>
      </c>
      <c r="C94" s="14" t="s">
        <v>102</v>
      </c>
      <c r="D94">
        <f>IF(settings!$G$4=0,'Student Enrollment Data'!AX95,'Student Enrollment Data'!CK95)</f>
        <v>1491.9192156862746</v>
      </c>
      <c r="E94">
        <f>IF(settings!$G$4=0,'Student Enrollment Data'!AY95,'Student Enrollment Data'!CL95)</f>
        <v>428</v>
      </c>
      <c r="F94">
        <f>IF(settings!$G$4=0,'Student Enrollment Data'!AZ95,'Student Enrollment Data'!CM95)</f>
        <v>458.14061764705883</v>
      </c>
      <c r="G94" s="23">
        <f>'Student Enrollment Data'!BK95</f>
        <v>179</v>
      </c>
      <c r="H94">
        <f>'Student Enrollment Data'!BF95</f>
        <v>663.44</v>
      </c>
      <c r="I94">
        <f>SUM('Student Enrollment Data'!R95:X95,'Student Enrollment Data'!AQ95:AW95)</f>
        <v>35.676862745098092</v>
      </c>
      <c r="J94">
        <f>'Student Enrollment Data'!BS95</f>
        <v>230</v>
      </c>
      <c r="K94">
        <f t="shared" si="12"/>
        <v>149.19192156862746</v>
      </c>
      <c r="M94" s="27">
        <f t="shared" si="10"/>
        <v>1491.9192156862746</v>
      </c>
      <c r="N94" s="27">
        <f>E94*'Front page'!$B$20</f>
        <v>42.800000000000004</v>
      </c>
      <c r="O94" s="27">
        <f>F94*'Front page'!$B$21</f>
        <v>45.814061764705883</v>
      </c>
      <c r="P94">
        <f>G94*'Front page'!$B$18</f>
        <v>17.900000000000002</v>
      </c>
      <c r="Q94" s="27">
        <f>IF(settings!$B$4=0,Calculations!H94,Calculations!I94) *'Front page'!$B$11</f>
        <v>66.344000000000008</v>
      </c>
      <c r="R94" s="28">
        <f>ROUND(I94*'Front page'!$B$9,2)</f>
        <v>0</v>
      </c>
      <c r="S94" s="27">
        <f>J94*'Front page'!$B$14</f>
        <v>23</v>
      </c>
      <c r="T94" s="81">
        <f>'Front page'!$B$16*Calculations!K94</f>
        <v>2.9838384313725492</v>
      </c>
      <c r="U94" s="81">
        <f>IF(settings!$B$13=0,(Calculations!M94*'Economic Adjustment'!O93)-Calculations!M94,0)</f>
        <v>0</v>
      </c>
      <c r="V94" s="154">
        <f>VLOOKUP(B94,'Remote School Building Weight'!$M$2:$P$174,3,FALSE)</f>
        <v>0</v>
      </c>
      <c r="W94" s="23">
        <f>'Small Dist Weight'!V93-Calculations!D94</f>
        <v>72.473224324172406</v>
      </c>
      <c r="X94" s="23">
        <f>IF(settings!$P$9=0,'Large District Weight'!H93*'Large District Weight'!G93,0)</f>
        <v>0</v>
      </c>
      <c r="Y94" s="23">
        <f t="shared" si="13"/>
        <v>1763.2343402065255</v>
      </c>
      <c r="Z94" s="23">
        <f>IF(settings!$F$13=0,'Teacher Exp'!L94,0)</f>
        <v>0</v>
      </c>
      <c r="AA94" s="23">
        <f t="shared" si="14"/>
        <v>1763.2343402065255</v>
      </c>
      <c r="AC94" s="24">
        <f>'Student Enrollment Data'!BU95</f>
        <v>232</v>
      </c>
      <c r="AD94" s="24">
        <f t="shared" si="15"/>
        <v>149.19192156862746</v>
      </c>
      <c r="AE94" s="24">
        <f>AD94*'Front page'!$B$16</f>
        <v>2.9838384313725492</v>
      </c>
      <c r="AG94" s="6">
        <f>M94*'Front page'!$E$3</f>
        <v>7324900.6354658995</v>
      </c>
      <c r="AH94" s="6">
        <f>N94*'Front page'!$E$3</f>
        <v>210135.87324413515</v>
      </c>
      <c r="AI94" s="6">
        <f>O94*'Front page'!$E$3</f>
        <v>224934.06251839284</v>
      </c>
      <c r="AJ94" s="6">
        <f>P94*'Front page'!$E$3</f>
        <v>87883.928296028491</v>
      </c>
      <c r="AK94" s="6">
        <f>Q94*'Front page'!$E$3</f>
        <v>325730.24239506782</v>
      </c>
      <c r="AL94" s="6">
        <f>S94*'Front page'!$E$3</f>
        <v>112923.48328539972</v>
      </c>
      <c r="AM94" s="5">
        <f>Z94*'Front page'!$E$3</f>
        <v>0</v>
      </c>
      <c r="AN94" s="6">
        <f>T94*'Front page'!$E$3</f>
        <v>14649.801270931799</v>
      </c>
      <c r="AO94" s="6">
        <f>U94*'Front page'!$E$3</f>
        <v>0</v>
      </c>
      <c r="AP94" s="6">
        <f>W94*'Front page'!$E$3</f>
        <v>355822.99720042205</v>
      </c>
      <c r="AQ94" s="6">
        <f>V94*'Front page'!$E$3</f>
        <v>0</v>
      </c>
      <c r="AR94" s="6">
        <f>X94*'Front page'!$E$3</f>
        <v>0</v>
      </c>
      <c r="AS94" s="6">
        <f t="shared" si="16"/>
        <v>8656981.0236762781</v>
      </c>
      <c r="AT94" s="7">
        <f>IF(AS94&gt;'Funding Comparison'!D94*(1+'Front page'!$H$10),'Funding Comparison'!D94*(1+'Front page'!$H$10),AS94)</f>
        <v>2882276.9219999998</v>
      </c>
    </row>
    <row r="95" spans="1:46">
      <c r="A95" t="str">
        <f t="shared" si="9"/>
        <v>372</v>
      </c>
      <c r="B95">
        <f t="shared" si="11"/>
        <v>372</v>
      </c>
      <c r="C95" s="14" t="s">
        <v>103</v>
      </c>
      <c r="D95">
        <f>IF(settings!$G$4=0,'Student Enrollment Data'!AX96,'Student Enrollment Data'!CK96)</f>
        <v>954.84901960784316</v>
      </c>
      <c r="E95">
        <f>IF(settings!$G$4=0,'Student Enrollment Data'!AY96,'Student Enrollment Data'!CL96)</f>
        <v>248.5</v>
      </c>
      <c r="F95">
        <f>IF(settings!$G$4=0,'Student Enrollment Data'!AZ96,'Student Enrollment Data'!CM96)</f>
        <v>313.83529411764704</v>
      </c>
      <c r="G95" s="23">
        <f>'Student Enrollment Data'!BK96</f>
        <v>85</v>
      </c>
      <c r="H95">
        <f>'Student Enrollment Data'!BF96</f>
        <v>448</v>
      </c>
      <c r="I95">
        <f>SUM('Student Enrollment Data'!R96:X96,'Student Enrollment Data'!AQ96:AW96)</f>
        <v>29.396078431372537</v>
      </c>
      <c r="J95">
        <f>'Student Enrollment Data'!BS96</f>
        <v>63</v>
      </c>
      <c r="K95">
        <f t="shared" si="12"/>
        <v>95.484901960784327</v>
      </c>
      <c r="M95" s="27">
        <f t="shared" si="10"/>
        <v>954.84901960784316</v>
      </c>
      <c r="N95" s="27">
        <f>E95*'Front page'!$B$20</f>
        <v>24.85</v>
      </c>
      <c r="O95" s="27">
        <f>F95*'Front page'!$B$21</f>
        <v>31.383529411764705</v>
      </c>
      <c r="P95">
        <f>G95*'Front page'!$B$18</f>
        <v>8.5</v>
      </c>
      <c r="Q95" s="27">
        <f>IF(settings!$B$4=0,Calculations!H95,Calculations!I95) *'Front page'!$B$11</f>
        <v>44.800000000000004</v>
      </c>
      <c r="R95" s="28">
        <f>ROUND(I95*'Front page'!$B$9,2)</f>
        <v>0</v>
      </c>
      <c r="S95" s="27">
        <f>J95*'Front page'!$B$14</f>
        <v>6.3000000000000007</v>
      </c>
      <c r="T95" s="81">
        <f>'Front page'!$B$16*Calculations!K95</f>
        <v>1.9096980392156866</v>
      </c>
      <c r="U95" s="81">
        <f>IF(settings!$B$13=0,(Calculations!M95*'Economic Adjustment'!O94)-Calculations!M95,0)</f>
        <v>0</v>
      </c>
      <c r="V95" s="154">
        <f>VLOOKUP(B95,'Remote School Building Weight'!$M$2:$P$174,3,FALSE)</f>
        <v>0</v>
      </c>
      <c r="W95" s="23">
        <f>'Small Dist Weight'!V94-Calculations!D95</f>
        <v>112.79715517241368</v>
      </c>
      <c r="X95" s="23">
        <f>IF(settings!$P$9=0,'Large District Weight'!H94*'Large District Weight'!G94,0)</f>
        <v>0</v>
      </c>
      <c r="Y95" s="23">
        <f t="shared" si="13"/>
        <v>1185.3894022312375</v>
      </c>
      <c r="Z95" s="23">
        <f>IF(settings!$F$13=0,'Teacher Exp'!L95,0)</f>
        <v>0</v>
      </c>
      <c r="AA95" s="23">
        <f t="shared" si="14"/>
        <v>1185.3894022312375</v>
      </c>
      <c r="AC95" s="24">
        <f>'Student Enrollment Data'!BU96</f>
        <v>0</v>
      </c>
      <c r="AD95" s="24">
        <f t="shared" si="15"/>
        <v>95.484901960784327</v>
      </c>
      <c r="AE95" s="24">
        <f>AD95*'Front page'!$B$16</f>
        <v>1.9096980392156866</v>
      </c>
      <c r="AG95" s="6">
        <f>M95*'Front page'!$E$3</f>
        <v>4688038.1437289817</v>
      </c>
      <c r="AH95" s="6">
        <f>N95*'Front page'!$E$3</f>
        <v>122006.45911487752</v>
      </c>
      <c r="AI95" s="6">
        <f>O95*'Front page'!$E$3</f>
        <v>154084.23734635921</v>
      </c>
      <c r="AJ95" s="6">
        <f>P95*'Front page'!$E$3</f>
        <v>41732.591648952068</v>
      </c>
      <c r="AK95" s="6">
        <f>Q95*'Front page'!$E$3</f>
        <v>219955.30657330033</v>
      </c>
      <c r="AL95" s="6">
        <f>S95*'Front page'!$E$3</f>
        <v>30931.21498687036</v>
      </c>
      <c r="AM95" s="5">
        <f>Z95*'Front page'!$E$3</f>
        <v>0</v>
      </c>
      <c r="AN95" s="6">
        <f>T95*'Front page'!$E$3</f>
        <v>9376.076287457965</v>
      </c>
      <c r="AO95" s="6">
        <f>U95*'Front page'!$E$3</f>
        <v>0</v>
      </c>
      <c r="AP95" s="6">
        <f>W95*'Front page'!$E$3</f>
        <v>553802.07246750849</v>
      </c>
      <c r="AQ95" s="6">
        <f>V95*'Front page'!$E$3</f>
        <v>0</v>
      </c>
      <c r="AR95" s="6">
        <f>X95*'Front page'!$E$3</f>
        <v>0</v>
      </c>
      <c r="AS95" s="6">
        <f t="shared" si="16"/>
        <v>5819926.102154308</v>
      </c>
      <c r="AT95" s="7">
        <f>IF(AS95&gt;'Funding Comparison'!D95*(1+'Front page'!$H$10),'Funding Comparison'!D95*(1+'Front page'!$H$10),AS95)</f>
        <v>2837612.0115000005</v>
      </c>
    </row>
    <row r="96" spans="1:46">
      <c r="A96" t="str">
        <f t="shared" si="9"/>
        <v>373</v>
      </c>
      <c r="B96">
        <f t="shared" si="11"/>
        <v>373</v>
      </c>
      <c r="C96" s="14" t="s">
        <v>104</v>
      </c>
      <c r="D96">
        <f>IF(settings!$G$4=0,'Student Enrollment Data'!AX97,'Student Enrollment Data'!CK97)</f>
        <v>1696.8627450980391</v>
      </c>
      <c r="E96">
        <f>IF(settings!$G$4=0,'Student Enrollment Data'!AY97,'Student Enrollment Data'!CL97)</f>
        <v>452.5</v>
      </c>
      <c r="F96">
        <f>IF(settings!$G$4=0,'Student Enrollment Data'!AZ97,'Student Enrollment Data'!CM97)</f>
        <v>543.08823529411768</v>
      </c>
      <c r="G96" s="23">
        <f>'Student Enrollment Data'!BK97</f>
        <v>203</v>
      </c>
      <c r="H96">
        <f>'Student Enrollment Data'!BF97</f>
        <v>768</v>
      </c>
      <c r="I96">
        <f>SUM('Student Enrollment Data'!R97:X97,'Student Enrollment Data'!AQ97:AW97)</f>
        <v>32.452138106442568</v>
      </c>
      <c r="J96">
        <f>'Student Enrollment Data'!BS97</f>
        <v>153</v>
      </c>
      <c r="K96">
        <f t="shared" si="12"/>
        <v>169.68627450980392</v>
      </c>
      <c r="M96" s="27">
        <f t="shared" si="10"/>
        <v>1696.8627450980391</v>
      </c>
      <c r="N96" s="27">
        <f>E96*'Front page'!$B$20</f>
        <v>45.25</v>
      </c>
      <c r="O96" s="27">
        <f>F96*'Front page'!$B$21</f>
        <v>54.308823529411768</v>
      </c>
      <c r="P96">
        <f>G96*'Front page'!$B$18</f>
        <v>20.3</v>
      </c>
      <c r="Q96" s="27">
        <f>IF(settings!$B$4=0,Calculations!H96,Calculations!I96) *'Front page'!$B$11</f>
        <v>76.800000000000011</v>
      </c>
      <c r="R96" s="28">
        <f>ROUND(I96*'Front page'!$B$9,2)</f>
        <v>0</v>
      </c>
      <c r="S96" s="27">
        <f>J96*'Front page'!$B$14</f>
        <v>15.3</v>
      </c>
      <c r="T96" s="81">
        <f>'Front page'!$B$16*Calculations!K96</f>
        <v>3.3937254901960787</v>
      </c>
      <c r="U96" s="81">
        <f>IF(settings!$B$13=0,(Calculations!M96*'Economic Adjustment'!O95)-Calculations!M96,0)</f>
        <v>0</v>
      </c>
      <c r="V96" s="154">
        <f>VLOOKUP(B96,'Remote School Building Weight'!$M$2:$P$174,3,FALSE)</f>
        <v>0</v>
      </c>
      <c r="W96" s="23">
        <f>'Small Dist Weight'!V95-Calculations!D96</f>
        <v>21.28752877706188</v>
      </c>
      <c r="X96" s="23">
        <f>IF(settings!$P$9=0,'Large District Weight'!H95*'Large District Weight'!G95,0)</f>
        <v>0</v>
      </c>
      <c r="Y96" s="23">
        <f t="shared" si="13"/>
        <v>1933.5028228947087</v>
      </c>
      <c r="Z96" s="23">
        <f>IF(settings!$F$13=0,'Teacher Exp'!L96,0)</f>
        <v>0</v>
      </c>
      <c r="AA96" s="23">
        <f t="shared" si="14"/>
        <v>1933.5028228947087</v>
      </c>
      <c r="AC96" s="24">
        <f>'Student Enrollment Data'!BU97</f>
        <v>112</v>
      </c>
      <c r="AD96" s="24">
        <f t="shared" si="15"/>
        <v>169.68627450980392</v>
      </c>
      <c r="AE96" s="24">
        <f>AD96*'Front page'!$B$16</f>
        <v>3.3937254901960787</v>
      </c>
      <c r="AG96" s="6">
        <f>M96*'Front page'!$E$3</f>
        <v>8331115.2971172128</v>
      </c>
      <c r="AH96" s="6">
        <f>N96*'Front page'!$E$3</f>
        <v>222164.67907236249</v>
      </c>
      <c r="AI96" s="6">
        <f>O96*'Front page'!$E$3</f>
        <v>266640.93591622839</v>
      </c>
      <c r="AJ96" s="6">
        <f>P96*'Front page'!$E$3</f>
        <v>99667.248291026714</v>
      </c>
      <c r="AK96" s="6">
        <f>Q96*'Front page'!$E$3</f>
        <v>377066.23983994348</v>
      </c>
      <c r="AL96" s="6">
        <f>S96*'Front page'!$E$3</f>
        <v>75118.664968113735</v>
      </c>
      <c r="AM96" s="5">
        <f>Z96*'Front page'!$E$3</f>
        <v>0</v>
      </c>
      <c r="AN96" s="6">
        <f>T96*'Front page'!$E$3</f>
        <v>16662.230594234428</v>
      </c>
      <c r="AO96" s="6">
        <f>U96*'Front page'!$E$3</f>
        <v>0</v>
      </c>
      <c r="AP96" s="6">
        <f>W96*'Front page'!$E$3</f>
        <v>104515.73478452228</v>
      </c>
      <c r="AQ96" s="6">
        <f>V96*'Front page'!$E$3</f>
        <v>0</v>
      </c>
      <c r="AR96" s="6">
        <f>X96*'Front page'!$E$3</f>
        <v>0</v>
      </c>
      <c r="AS96" s="6">
        <f t="shared" si="16"/>
        <v>9492951.0305836461</v>
      </c>
      <c r="AT96" s="7">
        <f>IF(AS96&gt;'Funding Comparison'!D96*(1+'Front page'!$H$10),'Funding Comparison'!D96*(1+'Front page'!$H$10),AS96)</f>
        <v>2986076.1210000003</v>
      </c>
    </row>
    <row r="97" spans="1:46">
      <c r="A97" t="str">
        <f t="shared" si="9"/>
        <v>381</v>
      </c>
      <c r="B97">
        <f t="shared" si="11"/>
        <v>381</v>
      </c>
      <c r="C97" s="14" t="s">
        <v>105</v>
      </c>
      <c r="D97">
        <f>IF(settings!$G$4=0,'Student Enrollment Data'!AX98,'Student Enrollment Data'!CK98)</f>
        <v>1407.1156862745097</v>
      </c>
      <c r="E97">
        <f>IF(settings!$G$4=0,'Student Enrollment Data'!AY98,'Student Enrollment Data'!CL98)</f>
        <v>388</v>
      </c>
      <c r="F97">
        <f>IF(settings!$G$4=0,'Student Enrollment Data'!AZ98,'Student Enrollment Data'!CM98)</f>
        <v>425.66960784313727</v>
      </c>
      <c r="G97" s="23">
        <f>'Student Enrollment Data'!BK98</f>
        <v>122</v>
      </c>
      <c r="H97">
        <f>'Student Enrollment Data'!BF98</f>
        <v>900</v>
      </c>
      <c r="I97">
        <f>SUM('Student Enrollment Data'!R98:X98,'Student Enrollment Data'!AQ98:AW98)</f>
        <v>42.045212033733677</v>
      </c>
      <c r="J97">
        <f>'Student Enrollment Data'!BS98</f>
        <v>474</v>
      </c>
      <c r="K97">
        <f t="shared" si="12"/>
        <v>140.71156862745099</v>
      </c>
      <c r="M97" s="27">
        <f t="shared" si="10"/>
        <v>1407.1156862745097</v>
      </c>
      <c r="N97" s="27">
        <f>E97*'Front page'!$B$20</f>
        <v>38.800000000000004</v>
      </c>
      <c r="O97" s="27">
        <f>F97*'Front page'!$B$21</f>
        <v>42.566960784313729</v>
      </c>
      <c r="P97">
        <f>G97*'Front page'!$B$18</f>
        <v>12.200000000000001</v>
      </c>
      <c r="Q97" s="27">
        <f>IF(settings!$B$4=0,Calculations!H97,Calculations!I97) *'Front page'!$B$11</f>
        <v>90</v>
      </c>
      <c r="R97" s="28">
        <f>ROUND(I97*'Front page'!$B$9,2)</f>
        <v>0</v>
      </c>
      <c r="S97" s="27">
        <f>J97*'Front page'!$B$14</f>
        <v>47.400000000000006</v>
      </c>
      <c r="T97" s="81">
        <f>'Front page'!$B$16*Calculations!K97</f>
        <v>2.81423137254902</v>
      </c>
      <c r="U97" s="81">
        <f>IF(settings!$B$13=0,(Calculations!M97*'Economic Adjustment'!O96)-Calculations!M97,0)</f>
        <v>0</v>
      </c>
      <c r="V97" s="154">
        <f>VLOOKUP(B97,'Remote School Building Weight'!$M$2:$P$174,3,FALSE)</f>
        <v>0</v>
      </c>
      <c r="W97" s="23">
        <f>'Small Dist Weight'!V96-Calculations!D97</f>
        <v>79.104963864362617</v>
      </c>
      <c r="X97" s="23">
        <f>IF(settings!$P$9=0,'Large District Weight'!H96*'Large District Weight'!G96,0)</f>
        <v>0</v>
      </c>
      <c r="Y97" s="23">
        <f t="shared" si="13"/>
        <v>1720.0018422957353</v>
      </c>
      <c r="Z97" s="23">
        <f>IF(settings!$F$13=0,'Teacher Exp'!L97,0)</f>
        <v>0</v>
      </c>
      <c r="AA97" s="23">
        <f t="shared" si="14"/>
        <v>1720.0018422957353</v>
      </c>
      <c r="AC97" s="24">
        <f>'Student Enrollment Data'!BU98</f>
        <v>8</v>
      </c>
      <c r="AD97" s="24">
        <f t="shared" si="15"/>
        <v>140.71156862745099</v>
      </c>
      <c r="AE97" s="24">
        <f>AD97*'Front page'!$B$16</f>
        <v>2.81423137254902</v>
      </c>
      <c r="AG97" s="6">
        <f>M97*'Front page'!$E$3</f>
        <v>6908539.3338975366</v>
      </c>
      <c r="AH97" s="6">
        <f>N97*'Front page'!$E$3</f>
        <v>190497.00658580477</v>
      </c>
      <c r="AI97" s="6">
        <f>O97*'Front page'!$E$3</f>
        <v>208991.71672337898</v>
      </c>
      <c r="AJ97" s="6">
        <f>P97*'Front page'!$E$3</f>
        <v>59898.543307907683</v>
      </c>
      <c r="AK97" s="6">
        <f>Q97*'Front page'!$E$3</f>
        <v>441874.49981243367</v>
      </c>
      <c r="AL97" s="6">
        <f>S97*'Front page'!$E$3</f>
        <v>232720.56990121509</v>
      </c>
      <c r="AM97" s="5">
        <f>Z97*'Front page'!$E$3</f>
        <v>0</v>
      </c>
      <c r="AN97" s="6">
        <f>T97*'Front page'!$E$3</f>
        <v>13817.078667795076</v>
      </c>
      <c r="AO97" s="6">
        <f>U97*'Front page'!$E$3</f>
        <v>0</v>
      </c>
      <c r="AP97" s="6">
        <f>W97*'Front page'!$E$3</f>
        <v>388382.95933606522</v>
      </c>
      <c r="AQ97" s="6">
        <f>V97*'Front page'!$E$3</f>
        <v>0</v>
      </c>
      <c r="AR97" s="6">
        <f>X97*'Front page'!$E$3</f>
        <v>0</v>
      </c>
      <c r="AS97" s="6">
        <f t="shared" si="16"/>
        <v>8444721.7082321364</v>
      </c>
      <c r="AT97" s="7">
        <f>IF(AS97&gt;'Funding Comparison'!D97*(1+'Front page'!$H$10),'Funding Comparison'!D97*(1+'Front page'!$H$10),AS97)</f>
        <v>2994795.5415000007</v>
      </c>
    </row>
    <row r="98" spans="1:46">
      <c r="A98" t="str">
        <f t="shared" si="9"/>
        <v>382</v>
      </c>
      <c r="B98">
        <f t="shared" si="11"/>
        <v>382</v>
      </c>
      <c r="C98" s="14" t="s">
        <v>106</v>
      </c>
      <c r="D98">
        <f>IF(settings!$G$4=0,'Student Enrollment Data'!AX99,'Student Enrollment Data'!CK99)</f>
        <v>175</v>
      </c>
      <c r="E98">
        <f>IF(settings!$G$4=0,'Student Enrollment Data'!AY99,'Student Enrollment Data'!CL99)</f>
        <v>37</v>
      </c>
      <c r="F98">
        <f>IF(settings!$G$4=0,'Student Enrollment Data'!AZ99,'Student Enrollment Data'!CM99)</f>
        <v>67</v>
      </c>
      <c r="G98" s="23">
        <f>'Student Enrollment Data'!BK99</f>
        <v>11</v>
      </c>
      <c r="H98">
        <f>'Student Enrollment Data'!BF99</f>
        <v>67</v>
      </c>
      <c r="I98">
        <f>SUM('Student Enrollment Data'!R99:X99,'Student Enrollment Data'!AQ99:AW99)</f>
        <v>0</v>
      </c>
      <c r="J98">
        <f>'Student Enrollment Data'!BS99</f>
        <v>0</v>
      </c>
      <c r="K98">
        <f t="shared" si="12"/>
        <v>17.5</v>
      </c>
      <c r="M98" s="27">
        <f t="shared" si="10"/>
        <v>175</v>
      </c>
      <c r="N98" s="27">
        <f>E98*'Front page'!$B$20</f>
        <v>3.7</v>
      </c>
      <c r="O98" s="27">
        <f>F98*'Front page'!$B$21</f>
        <v>6.7</v>
      </c>
      <c r="P98">
        <f>G98*'Front page'!$B$18</f>
        <v>1.1000000000000001</v>
      </c>
      <c r="Q98" s="27">
        <f>IF(settings!$B$4=0,Calculations!H98,Calculations!I98) *'Front page'!$B$11</f>
        <v>6.7</v>
      </c>
      <c r="R98" s="28">
        <f>ROUND(I98*'Front page'!$B$9,2)</f>
        <v>0</v>
      </c>
      <c r="S98" s="27">
        <f>J98*'Front page'!$B$14</f>
        <v>0</v>
      </c>
      <c r="T98" s="81">
        <f>'Front page'!$B$16*Calculations!K98</f>
        <v>0.35000000000000003</v>
      </c>
      <c r="U98" s="81">
        <f>IF(settings!$B$13=0,(Calculations!M98*'Economic Adjustment'!O97)-Calculations!M98,0)</f>
        <v>0</v>
      </c>
      <c r="V98" s="154">
        <f>VLOOKUP(B98,'Remote School Building Weight'!$M$2:$P$174,3,FALSE)</f>
        <v>0</v>
      </c>
      <c r="W98" s="23">
        <f>'Small Dist Weight'!V97-Calculations!D98</f>
        <v>145.3510971786834</v>
      </c>
      <c r="X98" s="23">
        <f>IF(settings!$P$9=0,'Large District Weight'!H97*'Large District Weight'!G97,0)</f>
        <v>0</v>
      </c>
      <c r="Y98" s="23">
        <f t="shared" si="13"/>
        <v>338.90109717868336</v>
      </c>
      <c r="Z98" s="23">
        <f>IF(settings!$F$13=0,'Teacher Exp'!L98,0)</f>
        <v>0</v>
      </c>
      <c r="AA98" s="23">
        <f t="shared" si="14"/>
        <v>338.90109717868336</v>
      </c>
      <c r="AC98" s="24">
        <f>'Student Enrollment Data'!BU99</f>
        <v>0</v>
      </c>
      <c r="AD98" s="24">
        <f t="shared" si="15"/>
        <v>17.5</v>
      </c>
      <c r="AE98" s="24">
        <f>AD98*'Front page'!$B$16</f>
        <v>0.35000000000000003</v>
      </c>
      <c r="AG98" s="6">
        <f>M98*'Front page'!$E$3</f>
        <v>859200.41630195442</v>
      </c>
      <c r="AH98" s="6">
        <f>N98*'Front page'!$E$3</f>
        <v>18165.951658955608</v>
      </c>
      <c r="AI98" s="6">
        <f>O98*'Front page'!$E$3</f>
        <v>32895.101652703393</v>
      </c>
      <c r="AJ98" s="6">
        <f>P98*'Front page'!$E$3</f>
        <v>5400.6883310408566</v>
      </c>
      <c r="AK98" s="6">
        <f>Q98*'Front page'!$E$3</f>
        <v>32895.101652703393</v>
      </c>
      <c r="AL98" s="6">
        <f>S98*'Front page'!$E$3</f>
        <v>0</v>
      </c>
      <c r="AM98" s="5">
        <f>Z98*'Front page'!$E$3</f>
        <v>0</v>
      </c>
      <c r="AN98" s="6">
        <f>T98*'Front page'!$E$3</f>
        <v>1718.4008326039088</v>
      </c>
      <c r="AO98" s="6">
        <f>U98*'Front page'!$E$3</f>
        <v>0</v>
      </c>
      <c r="AP98" s="6">
        <f>W98*'Front page'!$E$3</f>
        <v>713632.70403354627</v>
      </c>
      <c r="AQ98" s="6">
        <f>V98*'Front page'!$E$3</f>
        <v>0</v>
      </c>
      <c r="AR98" s="6">
        <f>X98*'Front page'!$E$3</f>
        <v>0</v>
      </c>
      <c r="AS98" s="6">
        <f t="shared" si="16"/>
        <v>1663908.3644635079</v>
      </c>
      <c r="AT98" s="7">
        <f>IF(AS98&gt;'Funding Comparison'!D98*(1+'Front page'!$H$10),'Funding Comparison'!D98*(1+'Front page'!$H$10),AS98)</f>
        <v>1663908.3644635079</v>
      </c>
    </row>
    <row r="99" spans="1:46">
      <c r="A99" t="str">
        <f t="shared" si="9"/>
        <v>383</v>
      </c>
      <c r="B99">
        <f t="shared" si="11"/>
        <v>383</v>
      </c>
      <c r="C99" s="14" t="s">
        <v>107</v>
      </c>
      <c r="D99">
        <f>IF(settings!$G$4=0,'Student Enrollment Data'!AX100,'Student Enrollment Data'!CK100)</f>
        <v>15.5</v>
      </c>
      <c r="E99">
        <f>IF(settings!$G$4=0,'Student Enrollment Data'!AY100,'Student Enrollment Data'!CL100)</f>
        <v>9.5</v>
      </c>
      <c r="F99">
        <f>IF(settings!$G$4=0,'Student Enrollment Data'!AZ100,'Student Enrollment Data'!CM100)</f>
        <v>0</v>
      </c>
      <c r="G99" s="23">
        <f>'Student Enrollment Data'!BK100</f>
        <v>1.8395985049116899</v>
      </c>
      <c r="H99">
        <f>'Student Enrollment Data'!BF100</f>
        <v>6.88</v>
      </c>
      <c r="I99">
        <f>SUM('Student Enrollment Data'!R100:X100,'Student Enrollment Data'!AQ100:AW100)</f>
        <v>0</v>
      </c>
      <c r="J99">
        <f>'Student Enrollment Data'!BS100</f>
        <v>0</v>
      </c>
      <c r="K99">
        <f t="shared" si="12"/>
        <v>3</v>
      </c>
      <c r="M99" s="27">
        <f t="shared" ref="M99:M130" si="17">MAX(D99,30)</f>
        <v>30</v>
      </c>
      <c r="N99" s="27">
        <f>E99*'Front page'!$B$20</f>
        <v>0.95000000000000007</v>
      </c>
      <c r="O99" s="27">
        <f>F99*'Front page'!$B$21</f>
        <v>0</v>
      </c>
      <c r="P99">
        <f>G99*'Front page'!$B$18</f>
        <v>0.183959850491169</v>
      </c>
      <c r="Q99" s="27">
        <f>IF(settings!$B$4=0,Calculations!H99,Calculations!I99) *'Front page'!$B$11</f>
        <v>0.68800000000000006</v>
      </c>
      <c r="R99" s="28">
        <f>ROUND(I99*'Front page'!$B$9,2)</f>
        <v>0</v>
      </c>
      <c r="S99" s="27">
        <f>J99*'Front page'!$B$14</f>
        <v>0</v>
      </c>
      <c r="T99" s="81">
        <f>'Front page'!$B$16*Calculations!K99</f>
        <v>0.06</v>
      </c>
      <c r="U99" s="81">
        <f>IF(settings!$B$13=0,(Calculations!M99*'Economic Adjustment'!O98)-Calculations!M99,0)</f>
        <v>0</v>
      </c>
      <c r="V99" s="154">
        <f>VLOOKUP(B99,'Remote School Building Weight'!$M$2:$P$174,3,FALSE)</f>
        <v>0</v>
      </c>
      <c r="W99" s="23">
        <f>'Small Dist Weight'!V98-Calculations!D99</f>
        <v>16.274999999999999</v>
      </c>
      <c r="X99" s="23">
        <f>IF(settings!$P$9=0,'Large District Weight'!H98*'Large District Weight'!G98,0)</f>
        <v>0</v>
      </c>
      <c r="Y99" s="23">
        <f t="shared" si="13"/>
        <v>48.156959850491162</v>
      </c>
      <c r="Z99" s="23">
        <f>IF(settings!$F$13=0,'Teacher Exp'!L99,0)</f>
        <v>0</v>
      </c>
      <c r="AA99" s="23">
        <f t="shared" si="14"/>
        <v>48.156959850491162</v>
      </c>
      <c r="AC99" s="24">
        <f>'Student Enrollment Data'!BU100</f>
        <v>0</v>
      </c>
      <c r="AD99" s="24">
        <f t="shared" si="15"/>
        <v>3</v>
      </c>
      <c r="AE99" s="24">
        <f>AD99*'Front page'!$B$16</f>
        <v>0.06</v>
      </c>
      <c r="AG99" s="6">
        <f>M99*'Front page'!$E$3</f>
        <v>147291.4999374779</v>
      </c>
      <c r="AH99" s="6">
        <f>N99*'Front page'!$E$3</f>
        <v>4664.2308313534668</v>
      </c>
      <c r="AI99" s="6">
        <f>O99*'Front page'!$E$3</f>
        <v>0</v>
      </c>
      <c r="AJ99" s="6">
        <f>P99*'Front page'!$E$3</f>
        <v>903.19074357061538</v>
      </c>
      <c r="AK99" s="6">
        <f>Q99*'Front page'!$E$3</f>
        <v>3377.8850652328265</v>
      </c>
      <c r="AL99" s="6">
        <f>S99*'Front page'!$E$3</f>
        <v>0</v>
      </c>
      <c r="AM99" s="5">
        <f>Z99*'Front page'!$E$3</f>
        <v>0</v>
      </c>
      <c r="AN99" s="6">
        <f>T99*'Front page'!$E$3</f>
        <v>294.58299987495576</v>
      </c>
      <c r="AO99" s="6">
        <f>U99*'Front page'!$E$3</f>
        <v>0</v>
      </c>
      <c r="AP99" s="6">
        <f>W99*'Front page'!$E$3</f>
        <v>79905.638716081754</v>
      </c>
      <c r="AQ99" s="6">
        <f>V99*'Front page'!$E$3</f>
        <v>0</v>
      </c>
      <c r="AR99" s="6">
        <f>X99*'Front page'!$E$3</f>
        <v>0</v>
      </c>
      <c r="AS99" s="6">
        <f t="shared" si="16"/>
        <v>236437.02829359152</v>
      </c>
      <c r="AT99" s="7">
        <f>IF(AS99&gt;'Funding Comparison'!D99*(1+'Front page'!$H$10),'Funding Comparison'!D99*(1+'Front page'!$H$10),AS99)</f>
        <v>236437.02829359152</v>
      </c>
    </row>
    <row r="100" spans="1:46">
      <c r="A100" t="str">
        <f t="shared" si="9"/>
        <v>391</v>
      </c>
      <c r="B100">
        <f t="shared" si="11"/>
        <v>391</v>
      </c>
      <c r="C100" s="14" t="s">
        <v>108</v>
      </c>
      <c r="D100">
        <f>IF(settings!$G$4=0,'Student Enrollment Data'!AX101,'Student Enrollment Data'!CK101)</f>
        <v>1049.2313725490196</v>
      </c>
      <c r="E100">
        <f>IF(settings!$G$4=0,'Student Enrollment Data'!AY101,'Student Enrollment Data'!CL101)</f>
        <v>294</v>
      </c>
      <c r="F100">
        <f>IF(settings!$G$4=0,'Student Enrollment Data'!AZ101,'Student Enrollment Data'!CM101)</f>
        <v>310.40882352941179</v>
      </c>
      <c r="G100" s="23">
        <f>'Student Enrollment Data'!BK101</f>
        <v>209</v>
      </c>
      <c r="H100">
        <f>'Student Enrollment Data'!BF101</f>
        <v>515</v>
      </c>
      <c r="I100">
        <f>SUM('Student Enrollment Data'!R101:X101,'Student Enrollment Data'!AQ101:AW101)</f>
        <v>4.9254901960784325</v>
      </c>
      <c r="J100">
        <f>'Student Enrollment Data'!BS101</f>
        <v>5</v>
      </c>
      <c r="K100">
        <f t="shared" si="12"/>
        <v>104.92313725490197</v>
      </c>
      <c r="M100" s="27">
        <f t="shared" si="17"/>
        <v>1049.2313725490196</v>
      </c>
      <c r="N100" s="27">
        <f>E100*'Front page'!$B$20</f>
        <v>29.400000000000002</v>
      </c>
      <c r="O100" s="27">
        <f>F100*'Front page'!$B$21</f>
        <v>31.040882352941182</v>
      </c>
      <c r="P100">
        <f>G100*'Front page'!$B$18</f>
        <v>20.900000000000002</v>
      </c>
      <c r="Q100" s="27">
        <f>IF(settings!$B$4=0,Calculations!H100,Calculations!I100) *'Front page'!$B$11</f>
        <v>51.5</v>
      </c>
      <c r="R100" s="28">
        <f>ROUND(I100*'Front page'!$B$9,2)</f>
        <v>0</v>
      </c>
      <c r="S100" s="27">
        <f>J100*'Front page'!$B$14</f>
        <v>0.5</v>
      </c>
      <c r="T100" s="81">
        <f>'Front page'!$B$16*Calculations!K100</f>
        <v>2.0984627450980393</v>
      </c>
      <c r="U100" s="81">
        <f>IF(settings!$B$13=0,(Calculations!M100*'Economic Adjustment'!O99)-Calculations!M100,0)</f>
        <v>0</v>
      </c>
      <c r="V100" s="154">
        <f>VLOOKUP(B100,'Remote School Building Weight'!$M$2:$P$174,3,FALSE)</f>
        <v>47.444020128265137</v>
      </c>
      <c r="W100" s="23">
        <f>'Small Dist Weight'!V99-Calculations!D100</f>
        <v>112.27941630937698</v>
      </c>
      <c r="X100" s="23">
        <f>IF(settings!$P$9=0,'Large District Weight'!H99*'Large District Weight'!G99,0)</f>
        <v>0</v>
      </c>
      <c r="Y100" s="23">
        <f t="shared" si="13"/>
        <v>1344.3941540847011</v>
      </c>
      <c r="Z100" s="23">
        <f>IF(settings!$F$13=0,'Teacher Exp'!L100,0)</f>
        <v>0</v>
      </c>
      <c r="AA100" s="23">
        <f t="shared" si="14"/>
        <v>1344.3941540847011</v>
      </c>
      <c r="AC100" s="24">
        <f>'Student Enrollment Data'!BU101</f>
        <v>15</v>
      </c>
      <c r="AD100" s="24">
        <f t="shared" si="15"/>
        <v>104.92313725490197</v>
      </c>
      <c r="AE100" s="24">
        <f>AD100*'Front page'!$B$16</f>
        <v>2.0984627450980393</v>
      </c>
      <c r="AG100" s="6">
        <f>M100*'Front page'!$E$3</f>
        <v>5151428.7548067924</v>
      </c>
      <c r="AH100" s="6">
        <f>N100*'Front page'!$E$3</f>
        <v>144345.66993872836</v>
      </c>
      <c r="AI100" s="6">
        <f>O100*'Front page'!$E$3</f>
        <v>152401.93737158316</v>
      </c>
      <c r="AJ100" s="6">
        <f>P100*'Front page'!$E$3</f>
        <v>102613.07828977627</v>
      </c>
      <c r="AK100" s="6">
        <f>Q100*'Front page'!$E$3</f>
        <v>252850.40822600372</v>
      </c>
      <c r="AL100" s="6">
        <f>S100*'Front page'!$E$3</f>
        <v>2454.8583322912982</v>
      </c>
      <c r="AM100" s="5">
        <f>Z100*'Front page'!$E$3</f>
        <v>0</v>
      </c>
      <c r="AN100" s="6">
        <f>T100*'Front page'!$E$3</f>
        <v>10302.857509613585</v>
      </c>
      <c r="AO100" s="6">
        <f>U100*'Front page'!$E$3</f>
        <v>0</v>
      </c>
      <c r="AP100" s="6">
        <f>W100*'Front page'!$E$3</f>
        <v>551260.12134375516</v>
      </c>
      <c r="AQ100" s="6">
        <f>V100*'Front page'!$E$3</f>
        <v>232936.69625853549</v>
      </c>
      <c r="AR100" s="6">
        <f>X100*'Front page'!$E$3</f>
        <v>0</v>
      </c>
      <c r="AS100" s="6">
        <f t="shared" si="16"/>
        <v>6600594.3820770793</v>
      </c>
      <c r="AT100" s="7">
        <f>IF(AS100&gt;'Funding Comparison'!D100*(1+'Front page'!$H$10),'Funding Comparison'!D100*(1+'Front page'!$H$10),AS100)</f>
        <v>2978028.9</v>
      </c>
    </row>
    <row r="101" spans="1:46">
      <c r="A101" t="str">
        <f t="shared" si="9"/>
        <v>392</v>
      </c>
      <c r="B101">
        <f t="shared" si="11"/>
        <v>392</v>
      </c>
      <c r="C101" s="14" t="s">
        <v>109</v>
      </c>
      <c r="D101">
        <f>IF(settings!$G$4=0,'Student Enrollment Data'!AX102,'Student Enrollment Data'!CK102)</f>
        <v>93</v>
      </c>
      <c r="E101">
        <f>IF(settings!$G$4=0,'Student Enrollment Data'!AY102,'Student Enrollment Data'!CL102)</f>
        <v>27</v>
      </c>
      <c r="F101">
        <f>IF(settings!$G$4=0,'Student Enrollment Data'!AZ102,'Student Enrollment Data'!CM102)</f>
        <v>25</v>
      </c>
      <c r="G101" s="23">
        <f>'Student Enrollment Data'!BK102</f>
        <v>19</v>
      </c>
      <c r="H101">
        <f>'Student Enrollment Data'!BF102</f>
        <v>41.28</v>
      </c>
      <c r="I101">
        <f>SUM('Student Enrollment Data'!R102:X102,'Student Enrollment Data'!AQ102:AW102)</f>
        <v>0</v>
      </c>
      <c r="J101">
        <f>'Student Enrollment Data'!BS102</f>
        <v>0</v>
      </c>
      <c r="K101">
        <f t="shared" si="12"/>
        <v>9.3000000000000007</v>
      </c>
      <c r="M101" s="27">
        <f t="shared" si="17"/>
        <v>93</v>
      </c>
      <c r="N101" s="27">
        <f>E101*'Front page'!$B$20</f>
        <v>2.7</v>
      </c>
      <c r="O101" s="27">
        <f>F101*'Front page'!$B$21</f>
        <v>2.5</v>
      </c>
      <c r="P101">
        <f>G101*'Front page'!$B$18</f>
        <v>1.9000000000000001</v>
      </c>
      <c r="Q101" s="27">
        <f>IF(settings!$B$4=0,Calculations!H101,Calculations!I101) *'Front page'!$B$11</f>
        <v>4.1280000000000001</v>
      </c>
      <c r="R101" s="28">
        <f>ROUND(I101*'Front page'!$B$9,2)</f>
        <v>0</v>
      </c>
      <c r="S101" s="27">
        <f>J101*'Front page'!$B$14</f>
        <v>0</v>
      </c>
      <c r="T101" s="81">
        <f>'Front page'!$B$16*Calculations!K101</f>
        <v>0.18600000000000003</v>
      </c>
      <c r="U101" s="81">
        <f>IF(settings!$B$13=0,(Calculations!M101*'Economic Adjustment'!O100)-Calculations!M101,0)</f>
        <v>0</v>
      </c>
      <c r="V101" s="154">
        <f>VLOOKUP(B101,'Remote School Building Weight'!$M$2:$P$174,3,FALSE)</f>
        <v>0</v>
      </c>
      <c r="W101" s="23">
        <f>'Small Dist Weight'!V100-Calculations!D101</f>
        <v>178.09746081504704</v>
      </c>
      <c r="X101" s="23">
        <f>IF(settings!$P$9=0,'Large District Weight'!H100*'Large District Weight'!G100,0)</f>
        <v>0</v>
      </c>
      <c r="Y101" s="23">
        <f t="shared" si="13"/>
        <v>282.51146081504703</v>
      </c>
      <c r="Z101" s="23">
        <f>IF(settings!$F$13=0,'Teacher Exp'!L101,0)</f>
        <v>0</v>
      </c>
      <c r="AA101" s="23">
        <f t="shared" si="14"/>
        <v>282.51146081504703</v>
      </c>
      <c r="AC101" s="24">
        <f>'Student Enrollment Data'!BU102</f>
        <v>0</v>
      </c>
      <c r="AD101" s="24">
        <f t="shared" si="15"/>
        <v>9.3000000000000007</v>
      </c>
      <c r="AE101" s="24">
        <f>AD101*'Front page'!$B$16</f>
        <v>0.18600000000000003</v>
      </c>
      <c r="AG101" s="6">
        <f>M101*'Front page'!$E$3</f>
        <v>456603.64980618149</v>
      </c>
      <c r="AH101" s="6">
        <f>N101*'Front page'!$E$3</f>
        <v>13256.234994373011</v>
      </c>
      <c r="AI101" s="6">
        <f>O101*'Front page'!$E$3</f>
        <v>12274.291661456491</v>
      </c>
      <c r="AJ101" s="6">
        <f>P101*'Front page'!$E$3</f>
        <v>9328.4616627069336</v>
      </c>
      <c r="AK101" s="6">
        <f>Q101*'Front page'!$E$3</f>
        <v>20267.310391396957</v>
      </c>
      <c r="AL101" s="6">
        <f>S101*'Front page'!$E$3</f>
        <v>0</v>
      </c>
      <c r="AM101" s="5">
        <f>Z101*'Front page'!$E$3</f>
        <v>0</v>
      </c>
      <c r="AN101" s="6">
        <f>T101*'Front page'!$E$3</f>
        <v>913.20729961236304</v>
      </c>
      <c r="AO101" s="6">
        <f>U101*'Front page'!$E$3</f>
        <v>0</v>
      </c>
      <c r="AP101" s="6">
        <f>W101*'Front page'!$E$3</f>
        <v>874408.07128348248</v>
      </c>
      <c r="AQ101" s="6">
        <f>V101*'Front page'!$E$3</f>
        <v>0</v>
      </c>
      <c r="AR101" s="6">
        <f>X101*'Front page'!$E$3</f>
        <v>0</v>
      </c>
      <c r="AS101" s="6">
        <f t="shared" si="16"/>
        <v>1387051.2270992098</v>
      </c>
      <c r="AT101" s="7">
        <f>IF(AS101&gt;'Funding Comparison'!D101*(1+'Front page'!$H$10),'Funding Comparison'!D101*(1+'Front page'!$H$10),AS101)</f>
        <v>1387051.2270992098</v>
      </c>
    </row>
    <row r="102" spans="1:46">
      <c r="A102" t="str">
        <f t="shared" si="9"/>
        <v>393</v>
      </c>
      <c r="B102">
        <f t="shared" si="11"/>
        <v>393</v>
      </c>
      <c r="C102" s="14" t="s">
        <v>110</v>
      </c>
      <c r="D102">
        <f>IF(settings!$G$4=0,'Student Enrollment Data'!AX103,'Student Enrollment Data'!CK103)</f>
        <v>459.5</v>
      </c>
      <c r="E102">
        <f>IF(settings!$G$4=0,'Student Enrollment Data'!AY103,'Student Enrollment Data'!CL103)</f>
        <v>120.5</v>
      </c>
      <c r="F102">
        <f>IF(settings!$G$4=0,'Student Enrollment Data'!AZ103,'Student Enrollment Data'!CM103)</f>
        <v>145</v>
      </c>
      <c r="G102" s="23">
        <f>'Student Enrollment Data'!BK103</f>
        <v>83</v>
      </c>
      <c r="H102">
        <f>'Student Enrollment Data'!BF103</f>
        <v>272</v>
      </c>
      <c r="I102">
        <f>SUM('Student Enrollment Data'!R103:X103,'Student Enrollment Data'!AQ103:AW103)</f>
        <v>0</v>
      </c>
      <c r="J102">
        <f>'Student Enrollment Data'!BS103</f>
        <v>38.633598745560413</v>
      </c>
      <c r="K102">
        <f t="shared" si="12"/>
        <v>45.95</v>
      </c>
      <c r="M102" s="27">
        <f t="shared" si="17"/>
        <v>459.5</v>
      </c>
      <c r="N102" s="27">
        <f>E102*'Front page'!$B$20</f>
        <v>12.05</v>
      </c>
      <c r="O102" s="27">
        <f>F102*'Front page'!$B$21</f>
        <v>14.5</v>
      </c>
      <c r="P102">
        <f>G102*'Front page'!$B$18</f>
        <v>8.3000000000000007</v>
      </c>
      <c r="Q102" s="27">
        <f>IF(settings!$B$4=0,Calculations!H102,Calculations!I102) *'Front page'!$B$11</f>
        <v>27.200000000000003</v>
      </c>
      <c r="R102" s="28">
        <f>ROUND(I102*'Front page'!$B$9,2)</f>
        <v>0</v>
      </c>
      <c r="S102" s="27">
        <f>J102*'Front page'!$B$14</f>
        <v>3.8633598745560414</v>
      </c>
      <c r="T102" s="81">
        <f>'Front page'!$B$16*Calculations!K102</f>
        <v>0.91900000000000004</v>
      </c>
      <c r="U102" s="81">
        <f>IF(settings!$B$13=0,(Calculations!M102*'Economic Adjustment'!O101)-Calculations!M102,0)</f>
        <v>0</v>
      </c>
      <c r="V102" s="154">
        <f>VLOOKUP(B102,'Remote School Building Weight'!$M$2:$P$174,3,FALSE)</f>
        <v>0</v>
      </c>
      <c r="W102" s="23">
        <f>'Small Dist Weight'!V101-Calculations!D102</f>
        <v>177.86186716300949</v>
      </c>
      <c r="X102" s="23">
        <f>IF(settings!$P$9=0,'Large District Weight'!H101*'Large District Weight'!G101,0)</f>
        <v>0</v>
      </c>
      <c r="Y102" s="23">
        <f t="shared" si="13"/>
        <v>704.19422703756561</v>
      </c>
      <c r="Z102" s="23">
        <f>IF(settings!$F$13=0,'Teacher Exp'!L102,0)</f>
        <v>0</v>
      </c>
      <c r="AA102" s="23">
        <f t="shared" si="14"/>
        <v>704.19422703756561</v>
      </c>
      <c r="AC102" s="24">
        <f>'Student Enrollment Data'!BU103</f>
        <v>17</v>
      </c>
      <c r="AD102" s="24">
        <f t="shared" si="15"/>
        <v>45.95</v>
      </c>
      <c r="AE102" s="24">
        <f>AD102*'Front page'!$B$16</f>
        <v>0.91900000000000004</v>
      </c>
      <c r="AG102" s="6">
        <f>M102*'Front page'!$E$3</f>
        <v>2256014.807375703</v>
      </c>
      <c r="AH102" s="6">
        <f>N102*'Front page'!$E$3</f>
        <v>59162.08580822029</v>
      </c>
      <c r="AI102" s="6">
        <f>O102*'Front page'!$E$3</f>
        <v>71190.891636447646</v>
      </c>
      <c r="AJ102" s="6">
        <f>P102*'Front page'!$E$3</f>
        <v>40750.648316035556</v>
      </c>
      <c r="AK102" s="6">
        <f>Q102*'Front page'!$E$3</f>
        <v>133544.29327664664</v>
      </c>
      <c r="AL102" s="6">
        <f>S102*'Front page'!$E$3</f>
        <v>18968.002357387526</v>
      </c>
      <c r="AM102" s="5">
        <f>Z102*'Front page'!$E$3</f>
        <v>0</v>
      </c>
      <c r="AN102" s="6">
        <f>T102*'Front page'!$E$3</f>
        <v>4512.0296147514064</v>
      </c>
      <c r="AO102" s="6">
        <f>U102*'Front page'!$E$3</f>
        <v>0</v>
      </c>
      <c r="AP102" s="6">
        <f>W102*'Front page'!$E$3</f>
        <v>873251.37320400379</v>
      </c>
      <c r="AQ102" s="6">
        <f>V102*'Front page'!$E$3</f>
        <v>0</v>
      </c>
      <c r="AR102" s="6">
        <f>X102*'Front page'!$E$3</f>
        <v>0</v>
      </c>
      <c r="AS102" s="6">
        <f t="shared" si="16"/>
        <v>3457394.1315891957</v>
      </c>
      <c r="AT102" s="7">
        <f>IF(AS102&gt;'Funding Comparison'!D102*(1+'Front page'!$H$10),'Funding Comparison'!D102*(1+'Front page'!$H$10),AS102)</f>
        <v>3125748.57</v>
      </c>
    </row>
    <row r="103" spans="1:46">
      <c r="A103" t="str">
        <f t="shared" si="9"/>
        <v>394</v>
      </c>
      <c r="B103">
        <f t="shared" si="11"/>
        <v>394</v>
      </c>
      <c r="C103" s="14" t="s">
        <v>111</v>
      </c>
      <c r="D103">
        <f>IF(settings!$G$4=0,'Student Enrollment Data'!AX104,'Student Enrollment Data'!CK104)</f>
        <v>17</v>
      </c>
      <c r="E103">
        <f>IF(settings!$G$4=0,'Student Enrollment Data'!AY104,'Student Enrollment Data'!CL104)</f>
        <v>8</v>
      </c>
      <c r="F103">
        <f>IF(settings!$G$4=0,'Student Enrollment Data'!AZ104,'Student Enrollment Data'!CM104)</f>
        <v>0</v>
      </c>
      <c r="G103" s="23">
        <f>'Student Enrollment Data'!BK104</f>
        <v>1.8801014175458666</v>
      </c>
      <c r="H103">
        <f>'Student Enrollment Data'!BF104</f>
        <v>7.74</v>
      </c>
      <c r="I103">
        <f>SUM('Student Enrollment Data'!R104:X104,'Student Enrollment Data'!AQ104:AW104)</f>
        <v>0</v>
      </c>
      <c r="J103">
        <f>'Student Enrollment Data'!BS104</f>
        <v>0</v>
      </c>
      <c r="K103">
        <f t="shared" si="12"/>
        <v>3</v>
      </c>
      <c r="M103" s="27">
        <f t="shared" si="17"/>
        <v>30</v>
      </c>
      <c r="N103" s="27">
        <f>E103*'Front page'!$B$20</f>
        <v>0.8</v>
      </c>
      <c r="O103" s="27">
        <f>F103*'Front page'!$B$21</f>
        <v>0</v>
      </c>
      <c r="P103">
        <f>G103*'Front page'!$B$18</f>
        <v>0.18801014175458666</v>
      </c>
      <c r="Q103" s="27">
        <f>IF(settings!$B$4=0,Calculations!H103,Calculations!I103) *'Front page'!$B$11</f>
        <v>0.77400000000000002</v>
      </c>
      <c r="R103" s="28">
        <f>ROUND(I103*'Front page'!$B$9,2)</f>
        <v>0</v>
      </c>
      <c r="S103" s="27">
        <f>J103*'Front page'!$B$14</f>
        <v>0</v>
      </c>
      <c r="T103" s="81">
        <f>'Front page'!$B$16*Calculations!K103</f>
        <v>0.06</v>
      </c>
      <c r="U103" s="81">
        <f>IF(settings!$B$13=0,(Calculations!M103*'Economic Adjustment'!O102)-Calculations!M103,0)</f>
        <v>0</v>
      </c>
      <c r="V103" s="154">
        <f>VLOOKUP(B103,'Remote School Building Weight'!$M$2:$P$174,3,FALSE)</f>
        <v>0</v>
      </c>
      <c r="W103" s="23">
        <f>'Small Dist Weight'!V102-Calculations!D103</f>
        <v>17.849999999999994</v>
      </c>
      <c r="X103" s="23">
        <f>IF(settings!$P$9=0,'Large District Weight'!H102*'Large District Weight'!G102,0)</f>
        <v>0</v>
      </c>
      <c r="Y103" s="23">
        <f t="shared" si="13"/>
        <v>49.672010141754583</v>
      </c>
      <c r="Z103" s="23">
        <f>IF(settings!$F$13=0,'Teacher Exp'!L103,0)</f>
        <v>0</v>
      </c>
      <c r="AA103" s="23">
        <f t="shared" si="14"/>
        <v>49.672010141754583</v>
      </c>
      <c r="AC103" s="24">
        <f>'Student Enrollment Data'!BU104</f>
        <v>0</v>
      </c>
      <c r="AD103" s="24">
        <f t="shared" si="15"/>
        <v>3</v>
      </c>
      <c r="AE103" s="24">
        <f>AD103*'Front page'!$B$16</f>
        <v>0.06</v>
      </c>
      <c r="AG103" s="6">
        <f>M103*'Front page'!$E$3</f>
        <v>147291.4999374779</v>
      </c>
      <c r="AH103" s="6">
        <f>N103*'Front page'!$E$3</f>
        <v>3927.7733316660774</v>
      </c>
      <c r="AI103" s="6">
        <f>O103*'Front page'!$E$3</f>
        <v>0</v>
      </c>
      <c r="AJ103" s="6">
        <f>P103*'Front page'!$E$3</f>
        <v>923.07652608303033</v>
      </c>
      <c r="AK103" s="6">
        <f>Q103*'Front page'!$E$3</f>
        <v>3800.1206983869297</v>
      </c>
      <c r="AL103" s="6">
        <f>S103*'Front page'!$E$3</f>
        <v>0</v>
      </c>
      <c r="AM103" s="5">
        <f>Z103*'Front page'!$E$3</f>
        <v>0</v>
      </c>
      <c r="AN103" s="6">
        <f>T103*'Front page'!$E$3</f>
        <v>294.58299987495576</v>
      </c>
      <c r="AO103" s="6">
        <f>U103*'Front page'!$E$3</f>
        <v>0</v>
      </c>
      <c r="AP103" s="6">
        <f>W103*'Front page'!$E$3</f>
        <v>87638.442462799314</v>
      </c>
      <c r="AQ103" s="6">
        <f>V103*'Front page'!$E$3</f>
        <v>0</v>
      </c>
      <c r="AR103" s="6">
        <f>X103*'Front page'!$E$3</f>
        <v>0</v>
      </c>
      <c r="AS103" s="6">
        <f t="shared" si="16"/>
        <v>243875.49595628818</v>
      </c>
      <c r="AT103" s="7">
        <f>IF(AS103&gt;'Funding Comparison'!D103*(1+'Front page'!$H$10),'Funding Comparison'!D103*(1+'Front page'!$H$10),AS103)</f>
        <v>243875.49595628818</v>
      </c>
    </row>
    <row r="104" spans="1:46">
      <c r="A104" t="str">
        <f t="shared" si="9"/>
        <v>401</v>
      </c>
      <c r="B104">
        <f t="shared" si="11"/>
        <v>401</v>
      </c>
      <c r="C104" s="14" t="s">
        <v>112</v>
      </c>
      <c r="D104">
        <f>IF(settings!$G$4=0,'Student Enrollment Data'!AX105,'Student Enrollment Data'!CK105)</f>
        <v>1747</v>
      </c>
      <c r="E104">
        <f>IF(settings!$G$4=0,'Student Enrollment Data'!AY105,'Student Enrollment Data'!CL105)</f>
        <v>476</v>
      </c>
      <c r="F104">
        <f>IF(settings!$G$4=0,'Student Enrollment Data'!AZ105,'Student Enrollment Data'!CM105)</f>
        <v>517</v>
      </c>
      <c r="G104" s="23">
        <f>'Student Enrollment Data'!BK105</f>
        <v>212</v>
      </c>
      <c r="H104">
        <f>'Student Enrollment Data'!BF105</f>
        <v>738</v>
      </c>
      <c r="I104">
        <f>SUM('Student Enrollment Data'!R105:X105,'Student Enrollment Data'!AQ105:AW105)</f>
        <v>16.561087531402208</v>
      </c>
      <c r="J104">
        <f>'Student Enrollment Data'!BS105</f>
        <v>317</v>
      </c>
      <c r="K104">
        <f t="shared" si="12"/>
        <v>174.70000000000002</v>
      </c>
      <c r="M104" s="27">
        <f t="shared" si="17"/>
        <v>1747</v>
      </c>
      <c r="N104" s="27">
        <f>E104*'Front page'!$B$20</f>
        <v>47.6</v>
      </c>
      <c r="O104" s="27">
        <f>F104*'Front page'!$B$21</f>
        <v>51.7</v>
      </c>
      <c r="P104">
        <f>G104*'Front page'!$B$18</f>
        <v>21.200000000000003</v>
      </c>
      <c r="Q104" s="27">
        <f>IF(settings!$B$4=0,Calculations!H104,Calculations!I104) *'Front page'!$B$11</f>
        <v>73.8</v>
      </c>
      <c r="R104" s="28">
        <f>ROUND(I104*'Front page'!$B$9,2)</f>
        <v>0</v>
      </c>
      <c r="S104" s="27">
        <f>J104*'Front page'!$B$14</f>
        <v>31.700000000000003</v>
      </c>
      <c r="T104" s="81">
        <f>'Front page'!$B$16*Calculations!K104</f>
        <v>3.4940000000000002</v>
      </c>
      <c r="U104" s="81">
        <f>IF(settings!$B$13=0,(Calculations!M104*'Economic Adjustment'!O103)-Calculations!M104,0)</f>
        <v>0</v>
      </c>
      <c r="V104" s="154">
        <f>VLOOKUP(B104,'Remote School Building Weight'!$M$2:$P$174,3,FALSE)</f>
        <v>0</v>
      </c>
      <c r="W104" s="23">
        <f>'Small Dist Weight'!V103-Calculations!D104</f>
        <v>30.23034482758635</v>
      </c>
      <c r="X104" s="23">
        <f>IF(settings!$P$9=0,'Large District Weight'!H103*'Large District Weight'!G103,0)</f>
        <v>0</v>
      </c>
      <c r="Y104" s="23">
        <f t="shared" si="13"/>
        <v>2006.7243448275863</v>
      </c>
      <c r="Z104" s="23">
        <f>IF(settings!$F$13=0,'Teacher Exp'!L104,0)</f>
        <v>0</v>
      </c>
      <c r="AA104" s="23">
        <f t="shared" si="14"/>
        <v>2006.7243448275863</v>
      </c>
      <c r="AC104" s="24">
        <f>'Student Enrollment Data'!BU105</f>
        <v>11</v>
      </c>
      <c r="AD104" s="24">
        <f t="shared" si="15"/>
        <v>174.70000000000002</v>
      </c>
      <c r="AE104" s="24">
        <f>AD104*'Front page'!$B$16</f>
        <v>3.4940000000000002</v>
      </c>
      <c r="AG104" s="6">
        <f>M104*'Front page'!$E$3</f>
        <v>8577275.013025796</v>
      </c>
      <c r="AH104" s="6">
        <f>N104*'Front page'!$E$3</f>
        <v>233702.51323413159</v>
      </c>
      <c r="AI104" s="6">
        <f>O104*'Front page'!$E$3</f>
        <v>253832.35155892026</v>
      </c>
      <c r="AJ104" s="6">
        <f>P104*'Front page'!$E$3</f>
        <v>104085.99328915105</v>
      </c>
      <c r="AK104" s="6">
        <f>Q104*'Front page'!$E$3</f>
        <v>362337.08984619559</v>
      </c>
      <c r="AL104" s="6">
        <f>S104*'Front page'!$E$3</f>
        <v>155638.01826726831</v>
      </c>
      <c r="AM104" s="5">
        <f>Z104*'Front page'!$E$3</f>
        <v>0</v>
      </c>
      <c r="AN104" s="6">
        <f>T104*'Front page'!$E$3</f>
        <v>17154.550026051595</v>
      </c>
      <c r="AO104" s="6">
        <f>U104*'Front page'!$E$3</f>
        <v>0</v>
      </c>
      <c r="AP104" s="6">
        <f>W104*'Front page'!$E$3</f>
        <v>148422.42777607901</v>
      </c>
      <c r="AQ104" s="6">
        <f>V104*'Front page'!$E$3</f>
        <v>0</v>
      </c>
      <c r="AR104" s="6">
        <f>X104*'Front page'!$E$3</f>
        <v>0</v>
      </c>
      <c r="AS104" s="6">
        <f t="shared" si="16"/>
        <v>9852447.9570235927</v>
      </c>
      <c r="AT104" s="7">
        <f>IF(AS104&gt;'Funding Comparison'!D104*(1+'Front page'!$H$10),'Funding Comparison'!D104*(1+'Front page'!$H$10),AS104)</f>
        <v>3482734.9935000003</v>
      </c>
    </row>
    <row r="105" spans="1:46">
      <c r="A105" t="str">
        <f t="shared" si="9"/>
        <v>411</v>
      </c>
      <c r="B105">
        <f t="shared" si="11"/>
        <v>411</v>
      </c>
      <c r="C105" s="14" t="s">
        <v>113</v>
      </c>
      <c r="D105">
        <f>IF(settings!$G$4=0,'Student Enrollment Data'!AX106,'Student Enrollment Data'!CK106)</f>
        <v>9064.9163600140055</v>
      </c>
      <c r="E105">
        <f>IF(settings!$G$4=0,'Student Enrollment Data'!AY106,'Student Enrollment Data'!CL106)</f>
        <v>2690</v>
      </c>
      <c r="F105">
        <f>IF(settings!$G$4=0,'Student Enrollment Data'!AZ106,'Student Enrollment Data'!CM106)</f>
        <v>2588.3777397058825</v>
      </c>
      <c r="G105" s="23">
        <f>'Student Enrollment Data'!BK106</f>
        <v>981</v>
      </c>
      <c r="H105">
        <f>'Student Enrollment Data'!BF106</f>
        <v>6333</v>
      </c>
      <c r="I105">
        <f>SUM('Student Enrollment Data'!R106:X106,'Student Enrollment Data'!AQ106:AW106)</f>
        <v>355.2471965645106</v>
      </c>
      <c r="J105">
        <f>'Student Enrollment Data'!BS106</f>
        <v>1026</v>
      </c>
      <c r="K105">
        <f t="shared" si="12"/>
        <v>906.49163600140059</v>
      </c>
      <c r="M105" s="27">
        <f t="shared" si="17"/>
        <v>9064.9163600140055</v>
      </c>
      <c r="N105" s="27">
        <f>E105*'Front page'!$B$20</f>
        <v>269</v>
      </c>
      <c r="O105" s="27">
        <f>F105*'Front page'!$B$21</f>
        <v>258.83777397058827</v>
      </c>
      <c r="P105">
        <f>G105*'Front page'!$B$18</f>
        <v>98.100000000000009</v>
      </c>
      <c r="Q105" s="27">
        <f>IF(settings!$B$4=0,Calculations!H105,Calculations!I105) *'Front page'!$B$11</f>
        <v>633.30000000000007</v>
      </c>
      <c r="R105" s="28">
        <f>ROUND(I105*'Front page'!$B$9,2)</f>
        <v>0</v>
      </c>
      <c r="S105" s="27">
        <f>J105*'Front page'!$B$14</f>
        <v>102.60000000000001</v>
      </c>
      <c r="T105" s="81">
        <f>'Front page'!$B$16*Calculations!K105</f>
        <v>18.129832720028013</v>
      </c>
      <c r="U105" s="81">
        <f>IF(settings!$B$13=0,(Calculations!M105*'Economic Adjustment'!O104)-Calculations!M105,0)</f>
        <v>0</v>
      </c>
      <c r="V105" s="154">
        <f>VLOOKUP(B105,'Remote School Building Weight'!$M$2:$P$174,3,FALSE)</f>
        <v>0</v>
      </c>
      <c r="W105" s="23">
        <f>'Small Dist Weight'!V104-Calculations!D105</f>
        <v>-4.464285713766003E-3</v>
      </c>
      <c r="X105" s="23">
        <f>IF(settings!$P$9=0,'Large District Weight'!H104*'Large District Weight'!G104,0)</f>
        <v>0</v>
      </c>
      <c r="Y105" s="23">
        <f t="shared" si="13"/>
        <v>10444.879502418908</v>
      </c>
      <c r="Z105" s="23">
        <f>IF(settings!$F$13=0,'Teacher Exp'!L105,0)</f>
        <v>0</v>
      </c>
      <c r="AA105" s="23">
        <f t="shared" si="14"/>
        <v>10444.879502418908</v>
      </c>
      <c r="AC105" s="24">
        <f>'Student Enrollment Data'!BU106</f>
        <v>183</v>
      </c>
      <c r="AD105" s="24">
        <f t="shared" si="15"/>
        <v>906.49163600140059</v>
      </c>
      <c r="AE105" s="24">
        <f>AD105*'Front page'!$B$16</f>
        <v>18.129832720028013</v>
      </c>
      <c r="AG105" s="6">
        <f>M105*'Front page'!$E$3</f>
        <v>44506170.915808171</v>
      </c>
      <c r="AH105" s="6">
        <f>N105*'Front page'!$E$3</f>
        <v>1320713.7827727185</v>
      </c>
      <c r="AI105" s="6">
        <f>O105*'Front page'!$E$3</f>
        <v>1270820.1322868606</v>
      </c>
      <c r="AJ105" s="6">
        <f>P105*'Front page'!$E$3</f>
        <v>481643.20479555277</v>
      </c>
      <c r="AK105" s="6">
        <f>Q105*'Front page'!$E$3</f>
        <v>3109323.5636801585</v>
      </c>
      <c r="AL105" s="6">
        <f>S105*'Front page'!$E$3</f>
        <v>503736.92978617444</v>
      </c>
      <c r="AM105" s="5">
        <f>Z105*'Front page'!$E$3</f>
        <v>0</v>
      </c>
      <c r="AN105" s="6">
        <f>T105*'Front page'!$E$3</f>
        <v>89012.341831616359</v>
      </c>
      <c r="AO105" s="6">
        <f>U105*'Front page'!$E$3</f>
        <v>0</v>
      </c>
      <c r="AP105" s="6">
        <f>W105*'Front page'!$E$3</f>
        <v>-21.918377964334955</v>
      </c>
      <c r="AQ105" s="6">
        <f>V105*'Front page'!$E$3</f>
        <v>0</v>
      </c>
      <c r="AR105" s="6">
        <f>X105*'Front page'!$E$3</f>
        <v>0</v>
      </c>
      <c r="AS105" s="6">
        <f t="shared" si="16"/>
        <v>51281398.952583291</v>
      </c>
      <c r="AT105" s="7">
        <f>IF(AS105&gt;'Funding Comparison'!D105*(1+'Front page'!$H$10),'Funding Comparison'!D105*(1+'Front page'!$H$10),AS105)</f>
        <v>3497942.1645000004</v>
      </c>
    </row>
    <row r="106" spans="1:46">
      <c r="A106" t="str">
        <f t="shared" si="9"/>
        <v>412</v>
      </c>
      <c r="B106">
        <f t="shared" si="11"/>
        <v>412</v>
      </c>
      <c r="C106" s="14" t="s">
        <v>114</v>
      </c>
      <c r="D106">
        <f>IF(settings!$G$4=0,'Student Enrollment Data'!AX107,'Student Enrollment Data'!CK107)</f>
        <v>1212.9475490196078</v>
      </c>
      <c r="E106">
        <f>IF(settings!$G$4=0,'Student Enrollment Data'!AY107,'Student Enrollment Data'!CL107)</f>
        <v>347.5</v>
      </c>
      <c r="F106">
        <f>IF(settings!$G$4=0,'Student Enrollment Data'!AZ107,'Student Enrollment Data'!CM107)</f>
        <v>339.82745098039214</v>
      </c>
      <c r="G106" s="23">
        <f>'Student Enrollment Data'!BK107</f>
        <v>149</v>
      </c>
      <c r="H106">
        <f>'Student Enrollment Data'!BF107</f>
        <v>1098</v>
      </c>
      <c r="I106">
        <f>SUM('Student Enrollment Data'!R107:X107,'Student Enrollment Data'!AQ107:AW107)</f>
        <v>40.126004028274622</v>
      </c>
      <c r="J106">
        <f>'Student Enrollment Data'!BS107</f>
        <v>225</v>
      </c>
      <c r="K106">
        <f t="shared" si="12"/>
        <v>121.29475490196079</v>
      </c>
      <c r="M106" s="27">
        <f t="shared" si="17"/>
        <v>1212.9475490196078</v>
      </c>
      <c r="N106" s="27">
        <f>E106*'Front page'!$B$20</f>
        <v>34.75</v>
      </c>
      <c r="O106" s="27">
        <f>F106*'Front page'!$B$21</f>
        <v>33.982745098039217</v>
      </c>
      <c r="P106">
        <f>G106*'Front page'!$B$18</f>
        <v>14.9</v>
      </c>
      <c r="Q106" s="27">
        <f>IF(settings!$B$4=0,Calculations!H106,Calculations!I106) *'Front page'!$B$11</f>
        <v>109.80000000000001</v>
      </c>
      <c r="R106" s="28">
        <f>ROUND(I106*'Front page'!$B$9,2)</f>
        <v>0</v>
      </c>
      <c r="S106" s="27">
        <f>J106*'Front page'!$B$14</f>
        <v>22.5</v>
      </c>
      <c r="T106" s="81">
        <f>'Front page'!$B$16*Calculations!K106</f>
        <v>2.425895098039216</v>
      </c>
      <c r="U106" s="81">
        <f>IF(settings!$B$13=0,(Calculations!M106*'Economic Adjustment'!O105)-Calculations!M106,0)</f>
        <v>0</v>
      </c>
      <c r="V106" s="154">
        <f>VLOOKUP(B106,'Remote School Building Weight'!$M$2:$P$174,3,FALSE)</f>
        <v>0</v>
      </c>
      <c r="W106" s="23">
        <f>'Small Dist Weight'!V105-Calculations!D106</f>
        <v>104.98954635427026</v>
      </c>
      <c r="X106" s="23">
        <f>IF(settings!$P$9=0,'Large District Weight'!H105*'Large District Weight'!G105,0)</f>
        <v>0</v>
      </c>
      <c r="Y106" s="23">
        <f t="shared" si="13"/>
        <v>1536.2957355699566</v>
      </c>
      <c r="Z106" s="23">
        <f>IF(settings!$F$13=0,'Teacher Exp'!L106,0)</f>
        <v>0</v>
      </c>
      <c r="AA106" s="23">
        <f t="shared" si="14"/>
        <v>1536.2957355699566</v>
      </c>
      <c r="AC106" s="24">
        <f>'Student Enrollment Data'!BU107</f>
        <v>28</v>
      </c>
      <c r="AD106" s="24">
        <f t="shared" si="15"/>
        <v>121.29475490196079</v>
      </c>
      <c r="AE106" s="24">
        <f>AD106*'Front page'!$B$16</f>
        <v>2.425895098039216</v>
      </c>
      <c r="AG106" s="6">
        <f>M106*'Front page'!$E$3</f>
        <v>5955228.7946861843</v>
      </c>
      <c r="AH106" s="6">
        <f>N106*'Front page'!$E$3</f>
        <v>170612.65409424523</v>
      </c>
      <c r="AI106" s="6">
        <f>O106*'Front page'!$E$3</f>
        <v>166845.64991610567</v>
      </c>
      <c r="AJ106" s="6">
        <f>P106*'Front page'!$E$3</f>
        <v>73154.778302280683</v>
      </c>
      <c r="AK106" s="6">
        <f>Q106*'Front page'!$E$3</f>
        <v>539086.88977116917</v>
      </c>
      <c r="AL106" s="6">
        <f>S106*'Front page'!$E$3</f>
        <v>110468.62495310842</v>
      </c>
      <c r="AM106" s="5">
        <f>Z106*'Front page'!$E$3</f>
        <v>0</v>
      </c>
      <c r="AN106" s="6">
        <f>T106*'Front page'!$E$3</f>
        <v>11910.45758937237</v>
      </c>
      <c r="AO106" s="6">
        <f>U106*'Front page'!$E$3</f>
        <v>0</v>
      </c>
      <c r="AP106" s="6">
        <f>W106*'Front page'!$E$3</f>
        <v>515468.92534252768</v>
      </c>
      <c r="AQ106" s="6">
        <f>V106*'Front page'!$E$3</f>
        <v>0</v>
      </c>
      <c r="AR106" s="6">
        <f>X106*'Front page'!$E$3</f>
        <v>0</v>
      </c>
      <c r="AS106" s="6">
        <f t="shared" si="16"/>
        <v>7542776.7746549938</v>
      </c>
      <c r="AT106" s="7">
        <f>IF(AS106&gt;'Funding Comparison'!D106*(1+'Front page'!$H$10),'Funding Comparison'!D106*(1+'Front page'!$H$10),AS106)</f>
        <v>3311392.35</v>
      </c>
    </row>
    <row r="107" spans="1:46">
      <c r="A107" t="str">
        <f t="shared" si="9"/>
        <v>413</v>
      </c>
      <c r="B107">
        <f t="shared" si="11"/>
        <v>413</v>
      </c>
      <c r="C107" s="14" t="s">
        <v>115</v>
      </c>
      <c r="D107">
        <f>IF(settings!$G$4=0,'Student Enrollment Data'!AX108,'Student Enrollment Data'!CK108)</f>
        <v>1595.5</v>
      </c>
      <c r="E107">
        <f>IF(settings!$G$4=0,'Student Enrollment Data'!AY108,'Student Enrollment Data'!CL108)</f>
        <v>392.5</v>
      </c>
      <c r="F107">
        <f>IF(settings!$G$4=0,'Student Enrollment Data'!AZ108,'Student Enrollment Data'!CM108)</f>
        <v>500</v>
      </c>
      <c r="G107" s="23">
        <f>'Student Enrollment Data'!BK108</f>
        <v>159</v>
      </c>
      <c r="H107">
        <f>'Student Enrollment Data'!BF108</f>
        <v>569</v>
      </c>
      <c r="I107">
        <f>SUM('Student Enrollment Data'!R108:X108,'Student Enrollment Data'!AQ108:AW108)</f>
        <v>0</v>
      </c>
      <c r="J107">
        <f>'Student Enrollment Data'!BS108</f>
        <v>56</v>
      </c>
      <c r="K107">
        <f t="shared" si="12"/>
        <v>159.55000000000001</v>
      </c>
      <c r="M107" s="27">
        <f t="shared" si="17"/>
        <v>1595.5</v>
      </c>
      <c r="N107" s="27">
        <f>E107*'Front page'!$B$20</f>
        <v>39.25</v>
      </c>
      <c r="O107" s="27">
        <f>F107*'Front page'!$B$21</f>
        <v>50</v>
      </c>
      <c r="P107">
        <f>G107*'Front page'!$B$18</f>
        <v>15.9</v>
      </c>
      <c r="Q107" s="27">
        <f>IF(settings!$B$4=0,Calculations!H107,Calculations!I107) *'Front page'!$B$11</f>
        <v>56.900000000000006</v>
      </c>
      <c r="R107" s="28">
        <f>ROUND(I107*'Front page'!$B$9,2)</f>
        <v>0</v>
      </c>
      <c r="S107" s="27">
        <f>J107*'Front page'!$B$14</f>
        <v>5.6000000000000005</v>
      </c>
      <c r="T107" s="81">
        <f>'Front page'!$B$16*Calculations!K107</f>
        <v>3.1910000000000003</v>
      </c>
      <c r="U107" s="81">
        <f>IF(settings!$B$13=0,(Calculations!M107*'Economic Adjustment'!O106)-Calculations!M107,0)</f>
        <v>0</v>
      </c>
      <c r="V107" s="154">
        <f>VLOOKUP(B107,'Remote School Building Weight'!$M$2:$P$174,3,FALSE)</f>
        <v>44.736525324156268</v>
      </c>
      <c r="W107" s="23">
        <f>'Small Dist Weight'!V106-Calculations!D107</f>
        <v>38.565775862069131</v>
      </c>
      <c r="X107" s="23">
        <f>IF(settings!$P$9=0,'Large District Weight'!H106*'Large District Weight'!G106,0)</f>
        <v>0</v>
      </c>
      <c r="Y107" s="23">
        <f t="shared" si="13"/>
        <v>1849.6433011862255</v>
      </c>
      <c r="Z107" s="23">
        <f>IF(settings!$F$13=0,'Teacher Exp'!L107,0)</f>
        <v>0</v>
      </c>
      <c r="AA107" s="23">
        <f t="shared" si="14"/>
        <v>1849.6433011862255</v>
      </c>
      <c r="AC107" s="24">
        <f>'Student Enrollment Data'!BU108</f>
        <v>0</v>
      </c>
      <c r="AD107" s="24">
        <f t="shared" si="15"/>
        <v>159.55000000000001</v>
      </c>
      <c r="AE107" s="24">
        <f>AD107*'Front page'!$B$16</f>
        <v>3.1910000000000003</v>
      </c>
      <c r="AG107" s="6">
        <f>M107*'Front page'!$E$3</f>
        <v>7833452.9383415328</v>
      </c>
      <c r="AH107" s="6">
        <f>N107*'Front page'!$E$3</f>
        <v>192706.3790848669</v>
      </c>
      <c r="AI107" s="6">
        <f>O107*'Front page'!$E$3</f>
        <v>245485.83322912981</v>
      </c>
      <c r="AJ107" s="6">
        <f>P107*'Front page'!$E$3</f>
        <v>78064.494966863291</v>
      </c>
      <c r="AK107" s="6">
        <f>Q107*'Front page'!$E$3</f>
        <v>279362.87821474974</v>
      </c>
      <c r="AL107" s="6">
        <f>S107*'Front page'!$E$3</f>
        <v>27494.413321662541</v>
      </c>
      <c r="AM107" s="5">
        <f>Z107*'Front page'!$E$3</f>
        <v>0</v>
      </c>
      <c r="AN107" s="6">
        <f>T107*'Front page'!$E$3</f>
        <v>15666.905876683066</v>
      </c>
      <c r="AO107" s="6">
        <f>U107*'Front page'!$E$3</f>
        <v>0</v>
      </c>
      <c r="AP107" s="6">
        <f>W107*'Front page'!$E$3</f>
        <v>189347.03243255807</v>
      </c>
      <c r="AQ107" s="6">
        <f>V107*'Front page'!$E$3</f>
        <v>219643.66389953138</v>
      </c>
      <c r="AR107" s="6">
        <f>X107*'Front page'!$E$3</f>
        <v>0</v>
      </c>
      <c r="AS107" s="6">
        <f t="shared" si="16"/>
        <v>9081224.5393675789</v>
      </c>
      <c r="AT107" s="7">
        <f>IF(AS107&gt;'Funding Comparison'!D107*(1+'Front page'!$H$10),'Funding Comparison'!D107*(1+'Front page'!$H$10),AS107)</f>
        <v>7847917.8435000014</v>
      </c>
    </row>
    <row r="108" spans="1:46">
      <c r="A108" t="str">
        <f t="shared" si="9"/>
        <v>414</v>
      </c>
      <c r="B108">
        <f t="shared" si="11"/>
        <v>414</v>
      </c>
      <c r="C108" s="14" t="s">
        <v>116</v>
      </c>
      <c r="D108">
        <f>IF(settings!$G$4=0,'Student Enrollment Data'!AX109,'Student Enrollment Data'!CK109)</f>
        <v>1900.9764705882353</v>
      </c>
      <c r="E108">
        <f>IF(settings!$G$4=0,'Student Enrollment Data'!AY109,'Student Enrollment Data'!CL109)</f>
        <v>543</v>
      </c>
      <c r="F108">
        <f>IF(settings!$G$4=0,'Student Enrollment Data'!AZ109,'Student Enrollment Data'!CM109)</f>
        <v>549.97647058823532</v>
      </c>
      <c r="G108" s="23">
        <f>'Student Enrollment Data'!BK109</f>
        <v>145</v>
      </c>
      <c r="H108">
        <f>'Student Enrollment Data'!BF109</f>
        <v>660</v>
      </c>
      <c r="I108">
        <f>SUM('Student Enrollment Data'!R109:X109,'Student Enrollment Data'!AQ109:AW109)</f>
        <v>19.90588235294118</v>
      </c>
      <c r="J108">
        <f>'Student Enrollment Data'!BS109</f>
        <v>80</v>
      </c>
      <c r="K108">
        <f t="shared" si="12"/>
        <v>190.09764705882355</v>
      </c>
      <c r="M108" s="27">
        <f t="shared" si="17"/>
        <v>1900.9764705882353</v>
      </c>
      <c r="N108" s="27">
        <f>E108*'Front page'!$B$20</f>
        <v>54.300000000000004</v>
      </c>
      <c r="O108" s="27">
        <f>F108*'Front page'!$B$21</f>
        <v>54.997647058823532</v>
      </c>
      <c r="P108">
        <f>G108*'Front page'!$B$18</f>
        <v>14.5</v>
      </c>
      <c r="Q108" s="27">
        <f>IF(settings!$B$4=0,Calculations!H108,Calculations!I108) *'Front page'!$B$11</f>
        <v>66</v>
      </c>
      <c r="R108" s="28">
        <f>ROUND(I108*'Front page'!$B$9,2)</f>
        <v>0</v>
      </c>
      <c r="S108" s="27">
        <f>J108*'Front page'!$B$14</f>
        <v>8</v>
      </c>
      <c r="T108" s="81">
        <f>'Front page'!$B$16*Calculations!K108</f>
        <v>3.801952941176471</v>
      </c>
      <c r="U108" s="81">
        <f>IF(settings!$B$13=0,(Calculations!M108*'Economic Adjustment'!O107)-Calculations!M108,0)</f>
        <v>0</v>
      </c>
      <c r="V108" s="154">
        <f>VLOOKUP(B108,'Remote School Building Weight'!$M$2:$P$174,3,FALSE)</f>
        <v>0</v>
      </c>
      <c r="W108" s="23">
        <f>'Small Dist Weight'!V107-Calculations!D108</f>
        <v>8.7624732967426553</v>
      </c>
      <c r="X108" s="23">
        <f>IF(settings!$P$9=0,'Large District Weight'!H107*'Large District Weight'!G107,0)</f>
        <v>0</v>
      </c>
      <c r="Y108" s="23">
        <f t="shared" si="13"/>
        <v>2111.3385438849782</v>
      </c>
      <c r="Z108" s="23">
        <f>IF(settings!$F$13=0,'Teacher Exp'!L108,0)</f>
        <v>0</v>
      </c>
      <c r="AA108" s="23">
        <f t="shared" si="14"/>
        <v>2111.3385438849782</v>
      </c>
      <c r="AC108" s="24">
        <f>'Student Enrollment Data'!BU109</f>
        <v>76</v>
      </c>
      <c r="AD108" s="24">
        <f t="shared" si="15"/>
        <v>190.09764705882355</v>
      </c>
      <c r="AE108" s="24">
        <f>AD108*'Front page'!$B$16</f>
        <v>3.801952941176471</v>
      </c>
      <c r="AG108" s="6">
        <f>M108*'Front page'!$E$3</f>
        <v>9333255.8566264678</v>
      </c>
      <c r="AH108" s="6">
        <f>N108*'Front page'!$E$3</f>
        <v>266597.61488683498</v>
      </c>
      <c r="AI108" s="6">
        <f>O108*'Front page'!$E$3</f>
        <v>270022.86427753791</v>
      </c>
      <c r="AJ108" s="6">
        <f>P108*'Front page'!$E$3</f>
        <v>71190.891636447646</v>
      </c>
      <c r="AK108" s="6">
        <f>Q108*'Front page'!$E$3</f>
        <v>324041.29986245139</v>
      </c>
      <c r="AL108" s="6">
        <f>S108*'Front page'!$E$3</f>
        <v>39277.733316660771</v>
      </c>
      <c r="AM108" s="5">
        <f>Z108*'Front page'!$E$3</f>
        <v>0</v>
      </c>
      <c r="AN108" s="6">
        <f>T108*'Front page'!$E$3</f>
        <v>18666.511713252934</v>
      </c>
      <c r="AO108" s="6">
        <f>U108*'Front page'!$E$3</f>
        <v>0</v>
      </c>
      <c r="AP108" s="6">
        <f>W108*'Front page'!$E$3</f>
        <v>43021.26116797742</v>
      </c>
      <c r="AQ108" s="6">
        <f>V108*'Front page'!$E$3</f>
        <v>0</v>
      </c>
      <c r="AR108" s="6">
        <f>X108*'Front page'!$E$3</f>
        <v>0</v>
      </c>
      <c r="AS108" s="6">
        <f t="shared" si="16"/>
        <v>10366074.033487631</v>
      </c>
      <c r="AT108" s="7">
        <f>IF(AS108&gt;'Funding Comparison'!D108*(1+'Front page'!$H$10),'Funding Comparison'!D108*(1+'Front page'!$H$10),AS108)</f>
        <v>3729230.2949999999</v>
      </c>
    </row>
    <row r="109" spans="1:46">
      <c r="A109" t="str">
        <f t="shared" si="9"/>
        <v>415</v>
      </c>
      <c r="B109">
        <f t="shared" si="11"/>
        <v>415</v>
      </c>
      <c r="C109" s="14" t="s">
        <v>117</v>
      </c>
      <c r="D109">
        <f>IF(settings!$G$4=0,'Student Enrollment Data'!AX110,'Student Enrollment Data'!CK110)</f>
        <v>286.5</v>
      </c>
      <c r="E109">
        <f>IF(settings!$G$4=0,'Student Enrollment Data'!AY110,'Student Enrollment Data'!CL110)</f>
        <v>78.5</v>
      </c>
      <c r="F109">
        <f>IF(settings!$G$4=0,'Student Enrollment Data'!AZ110,'Student Enrollment Data'!CM110)</f>
        <v>81</v>
      </c>
      <c r="G109" s="23">
        <f>'Student Enrollment Data'!BK110</f>
        <v>49</v>
      </c>
      <c r="H109">
        <f>'Student Enrollment Data'!BF110</f>
        <v>207</v>
      </c>
      <c r="I109">
        <f>SUM('Student Enrollment Data'!R110:X110,'Student Enrollment Data'!AQ110:AW110)</f>
        <v>0</v>
      </c>
      <c r="J109">
        <f>'Student Enrollment Data'!BS110</f>
        <v>46</v>
      </c>
      <c r="K109">
        <f t="shared" si="12"/>
        <v>28.650000000000002</v>
      </c>
      <c r="M109" s="27">
        <f t="shared" si="17"/>
        <v>286.5</v>
      </c>
      <c r="N109" s="27">
        <f>E109*'Front page'!$B$20</f>
        <v>7.8500000000000005</v>
      </c>
      <c r="O109" s="27">
        <f>F109*'Front page'!$B$21</f>
        <v>8.1</v>
      </c>
      <c r="P109">
        <f>G109*'Front page'!$B$18</f>
        <v>4.9000000000000004</v>
      </c>
      <c r="Q109" s="27">
        <f>IF(settings!$B$4=0,Calculations!H109,Calculations!I109) *'Front page'!$B$11</f>
        <v>20.700000000000003</v>
      </c>
      <c r="R109" s="28">
        <f>ROUND(I109*'Front page'!$B$9,2)</f>
        <v>0</v>
      </c>
      <c r="S109" s="27">
        <f>J109*'Front page'!$B$14</f>
        <v>4.6000000000000005</v>
      </c>
      <c r="T109" s="81">
        <f>'Front page'!$B$16*Calculations!K109</f>
        <v>0.57300000000000006</v>
      </c>
      <c r="U109" s="81">
        <f>IF(settings!$B$13=0,(Calculations!M109*'Economic Adjustment'!O108)-Calculations!M109,0)</f>
        <v>0</v>
      </c>
      <c r="V109" s="154">
        <f>VLOOKUP(B109,'Remote School Building Weight'!$M$2:$P$174,3,FALSE)</f>
        <v>0</v>
      </c>
      <c r="W109" s="23">
        <f>'Small Dist Weight'!V108-Calculations!D109</f>
        <v>157.32270963949844</v>
      </c>
      <c r="X109" s="23">
        <f>IF(settings!$P$9=0,'Large District Weight'!H108*'Large District Weight'!G108,0)</f>
        <v>0</v>
      </c>
      <c r="Y109" s="23">
        <f t="shared" si="13"/>
        <v>490.54570963949845</v>
      </c>
      <c r="Z109" s="23">
        <f>IF(settings!$F$13=0,'Teacher Exp'!L109,0)</f>
        <v>0</v>
      </c>
      <c r="AA109" s="23">
        <f t="shared" si="14"/>
        <v>490.54570963949845</v>
      </c>
      <c r="AC109" s="24">
        <f>'Student Enrollment Data'!BU110</f>
        <v>0</v>
      </c>
      <c r="AD109" s="24">
        <f t="shared" si="15"/>
        <v>28.650000000000002</v>
      </c>
      <c r="AE109" s="24">
        <f>AD109*'Front page'!$B$16</f>
        <v>0.57300000000000006</v>
      </c>
      <c r="AG109" s="6">
        <f>M109*'Front page'!$E$3</f>
        <v>1406633.8244029139</v>
      </c>
      <c r="AH109" s="6">
        <f>N109*'Front page'!$E$3</f>
        <v>38541.275816973386</v>
      </c>
      <c r="AI109" s="6">
        <f>O109*'Front page'!$E$3</f>
        <v>39768.704983119031</v>
      </c>
      <c r="AJ109" s="6">
        <f>P109*'Front page'!$E$3</f>
        <v>24057.611656454723</v>
      </c>
      <c r="AK109" s="6">
        <f>Q109*'Front page'!$E$3</f>
        <v>101631.13495685977</v>
      </c>
      <c r="AL109" s="6">
        <f>S109*'Front page'!$E$3</f>
        <v>22584.696657079945</v>
      </c>
      <c r="AM109" s="5">
        <f>Z109*'Front page'!$E$3</f>
        <v>0</v>
      </c>
      <c r="AN109" s="6">
        <f>T109*'Front page'!$E$3</f>
        <v>2813.2676488058282</v>
      </c>
      <c r="AO109" s="6">
        <f>U109*'Front page'!$E$3</f>
        <v>0</v>
      </c>
      <c r="AP109" s="6">
        <f>W109*'Front page'!$E$3</f>
        <v>772409.92923433462</v>
      </c>
      <c r="AQ109" s="6">
        <f>V109*'Front page'!$E$3</f>
        <v>0</v>
      </c>
      <c r="AR109" s="6">
        <f>X109*'Front page'!$E$3</f>
        <v>0</v>
      </c>
      <c r="AS109" s="6">
        <f t="shared" si="16"/>
        <v>2408440.4453565408</v>
      </c>
      <c r="AT109" s="7">
        <f>IF(AS109&gt;'Funding Comparison'!D109*(1+'Front page'!$H$10),'Funding Comparison'!D109*(1+'Front page'!$H$10),AS109)</f>
        <v>2408440.4453565408</v>
      </c>
    </row>
    <row r="110" spans="1:46">
      <c r="A110" t="str">
        <f t="shared" si="9"/>
        <v>416</v>
      </c>
      <c r="B110">
        <f t="shared" si="11"/>
        <v>416</v>
      </c>
      <c r="C110" s="14" t="s">
        <v>118</v>
      </c>
      <c r="D110">
        <f>IF(settings!$G$4=0,'Student Enrollment Data'!AX111,'Student Enrollment Data'!CK111)</f>
        <v>5.5</v>
      </c>
      <c r="E110">
        <f>IF(settings!$G$4=0,'Student Enrollment Data'!AY111,'Student Enrollment Data'!CL111)</f>
        <v>2.5</v>
      </c>
      <c r="F110">
        <f>IF(settings!$G$4=0,'Student Enrollment Data'!AZ111,'Student Enrollment Data'!CM111)</f>
        <v>0</v>
      </c>
      <c r="G110" s="23">
        <f>'Student Enrollment Data'!BK111</f>
        <v>0.94534536405840508</v>
      </c>
      <c r="H110">
        <f>'Student Enrollment Data'!BF111</f>
        <v>6</v>
      </c>
      <c r="I110">
        <f>SUM('Student Enrollment Data'!R111:X111,'Student Enrollment Data'!AQ111:AW111)</f>
        <v>0</v>
      </c>
      <c r="J110">
        <f>'Student Enrollment Data'!BS111</f>
        <v>0</v>
      </c>
      <c r="K110">
        <f t="shared" si="12"/>
        <v>3</v>
      </c>
      <c r="M110" s="27">
        <f t="shared" si="17"/>
        <v>30</v>
      </c>
      <c r="N110" s="27">
        <f>E110*'Front page'!$B$20</f>
        <v>0.25</v>
      </c>
      <c r="O110" s="27">
        <f>F110*'Front page'!$B$21</f>
        <v>0</v>
      </c>
      <c r="P110">
        <f>G110*'Front page'!$B$18</f>
        <v>9.4534536405840516E-2</v>
      </c>
      <c r="Q110" s="27">
        <f>IF(settings!$B$4=0,Calculations!H110,Calculations!I110) *'Front page'!$B$11</f>
        <v>0.60000000000000009</v>
      </c>
      <c r="R110" s="28">
        <f>ROUND(I110*'Front page'!$B$9,2)</f>
        <v>0</v>
      </c>
      <c r="S110" s="27">
        <f>J110*'Front page'!$B$14</f>
        <v>0</v>
      </c>
      <c r="T110" s="81">
        <f>'Front page'!$B$16*Calculations!K110</f>
        <v>0.06</v>
      </c>
      <c r="U110" s="81">
        <f>IF(settings!$B$13=0,(Calculations!M110*'Economic Adjustment'!O109)-Calculations!M110,0)</f>
        <v>0</v>
      </c>
      <c r="V110" s="154">
        <f>VLOOKUP(B110,'Remote School Building Weight'!$M$2:$P$174,3,FALSE)</f>
        <v>0</v>
      </c>
      <c r="W110" s="23">
        <f>'Small Dist Weight'!V109-Calculations!D110</f>
        <v>5.7749999999999986</v>
      </c>
      <c r="X110" s="23">
        <f>IF(settings!$P$9=0,'Large District Weight'!H109*'Large District Weight'!G109,0)</f>
        <v>0</v>
      </c>
      <c r="Y110" s="23">
        <f t="shared" si="13"/>
        <v>36.779534536405841</v>
      </c>
      <c r="Z110" s="23">
        <f>IF(settings!$F$13=0,'Teacher Exp'!L110,0)</f>
        <v>0</v>
      </c>
      <c r="AA110" s="23">
        <f t="shared" si="14"/>
        <v>36.779534536405841</v>
      </c>
      <c r="AC110" s="24">
        <f>'Student Enrollment Data'!BU111</f>
        <v>0</v>
      </c>
      <c r="AD110" s="24">
        <f t="shared" si="15"/>
        <v>3</v>
      </c>
      <c r="AE110" s="24">
        <f>AD110*'Front page'!$B$16</f>
        <v>0.06</v>
      </c>
      <c r="AG110" s="6">
        <f>M110*'Front page'!$E$3</f>
        <v>147291.4999374779</v>
      </c>
      <c r="AH110" s="6">
        <f>N110*'Front page'!$E$3</f>
        <v>1227.4291661456491</v>
      </c>
      <c r="AI110" s="6">
        <f>O110*'Front page'!$E$3</f>
        <v>0</v>
      </c>
      <c r="AJ110" s="6">
        <f>P110*'Front page'!$E$3</f>
        <v>464.13778877034531</v>
      </c>
      <c r="AK110" s="6">
        <f>Q110*'Front page'!$E$3</f>
        <v>2945.8299987495584</v>
      </c>
      <c r="AL110" s="6">
        <f>S110*'Front page'!$E$3</f>
        <v>0</v>
      </c>
      <c r="AM110" s="5">
        <f>Z110*'Front page'!$E$3</f>
        <v>0</v>
      </c>
      <c r="AN110" s="6">
        <f>T110*'Front page'!$E$3</f>
        <v>294.58299987495576</v>
      </c>
      <c r="AO110" s="6">
        <f>U110*'Front page'!$E$3</f>
        <v>0</v>
      </c>
      <c r="AP110" s="6">
        <f>W110*'Front page'!$E$3</f>
        <v>28353.613737964486</v>
      </c>
      <c r="AQ110" s="6">
        <f>V110*'Front page'!$E$3</f>
        <v>0</v>
      </c>
      <c r="AR110" s="6">
        <f>X110*'Front page'!$E$3</f>
        <v>0</v>
      </c>
      <c r="AS110" s="6">
        <f t="shared" si="16"/>
        <v>180577.0936289829</v>
      </c>
      <c r="AT110" s="7">
        <f>IF(AS110&gt;'Funding Comparison'!D110*(1+'Front page'!$H$10),'Funding Comparison'!D110*(1+'Front page'!$H$10),AS110)</f>
        <v>180577.0936289829</v>
      </c>
    </row>
    <row r="111" spans="1:46">
      <c r="A111" t="str">
        <f t="shared" si="9"/>
        <v>417</v>
      </c>
      <c r="B111">
        <f t="shared" si="11"/>
        <v>417</v>
      </c>
      <c r="C111" s="14" t="s">
        <v>119</v>
      </c>
      <c r="D111">
        <f>IF(settings!$G$4=0,'Student Enrollment Data'!AX112,'Student Enrollment Data'!CK112)</f>
        <v>338</v>
      </c>
      <c r="E111">
        <f>IF(settings!$G$4=0,'Student Enrollment Data'!AY112,'Student Enrollment Data'!CL112)</f>
        <v>100</v>
      </c>
      <c r="F111">
        <f>IF(settings!$G$4=0,'Student Enrollment Data'!AZ112,'Student Enrollment Data'!CM112)</f>
        <v>100</v>
      </c>
      <c r="G111" s="23">
        <f>'Student Enrollment Data'!BK112</f>
        <v>19</v>
      </c>
      <c r="H111">
        <f>'Student Enrollment Data'!BF112</f>
        <v>226</v>
      </c>
      <c r="I111">
        <f>SUM('Student Enrollment Data'!R112:X112,'Student Enrollment Data'!AQ112:AW112)</f>
        <v>0</v>
      </c>
      <c r="J111">
        <f>'Student Enrollment Data'!BS112</f>
        <v>48</v>
      </c>
      <c r="K111">
        <f t="shared" si="12"/>
        <v>33.800000000000004</v>
      </c>
      <c r="M111" s="27">
        <f t="shared" si="17"/>
        <v>338</v>
      </c>
      <c r="N111" s="27">
        <f>E111*'Front page'!$B$20</f>
        <v>10</v>
      </c>
      <c r="O111" s="27">
        <f>F111*'Front page'!$B$21</f>
        <v>10</v>
      </c>
      <c r="P111">
        <f>G111*'Front page'!$B$18</f>
        <v>1.9000000000000001</v>
      </c>
      <c r="Q111" s="27">
        <f>IF(settings!$B$4=0,Calculations!H111,Calculations!I111) *'Front page'!$B$11</f>
        <v>22.6</v>
      </c>
      <c r="R111" s="28">
        <f>ROUND(I111*'Front page'!$B$9,2)</f>
        <v>0</v>
      </c>
      <c r="S111" s="27">
        <f>J111*'Front page'!$B$14</f>
        <v>4.8000000000000007</v>
      </c>
      <c r="T111" s="81">
        <f>'Front page'!$B$16*Calculations!K111</f>
        <v>0.67600000000000005</v>
      </c>
      <c r="U111" s="81">
        <f>IF(settings!$B$13=0,(Calculations!M111*'Economic Adjustment'!O110)-Calculations!M111,0)</f>
        <v>0</v>
      </c>
      <c r="V111" s="154">
        <f>VLOOKUP(B111,'Remote School Building Weight'!$M$2:$P$174,3,FALSE)</f>
        <v>0</v>
      </c>
      <c r="W111" s="23">
        <f>'Small Dist Weight'!V110-Calculations!D111</f>
        <v>165.7093103448276</v>
      </c>
      <c r="X111" s="23">
        <f>IF(settings!$P$9=0,'Large District Weight'!H110*'Large District Weight'!G110,0)</f>
        <v>0</v>
      </c>
      <c r="Y111" s="23">
        <f t="shared" si="13"/>
        <v>553.6853103448276</v>
      </c>
      <c r="Z111" s="23">
        <f>IF(settings!$F$13=0,'Teacher Exp'!L111,0)</f>
        <v>0</v>
      </c>
      <c r="AA111" s="23">
        <f t="shared" si="14"/>
        <v>553.6853103448276</v>
      </c>
      <c r="AC111" s="24">
        <f>'Student Enrollment Data'!BU112</f>
        <v>0</v>
      </c>
      <c r="AD111" s="24">
        <f t="shared" si="15"/>
        <v>33.800000000000004</v>
      </c>
      <c r="AE111" s="24">
        <f>AD111*'Front page'!$B$16</f>
        <v>0.67600000000000005</v>
      </c>
      <c r="AG111" s="6">
        <f>M111*'Front page'!$E$3</f>
        <v>1659484.2326289176</v>
      </c>
      <c r="AH111" s="6">
        <f>N111*'Front page'!$E$3</f>
        <v>49097.166645825964</v>
      </c>
      <c r="AI111" s="6">
        <f>O111*'Front page'!$E$3</f>
        <v>49097.166645825964</v>
      </c>
      <c r="AJ111" s="6">
        <f>P111*'Front page'!$E$3</f>
        <v>9328.4616627069336</v>
      </c>
      <c r="AK111" s="6">
        <f>Q111*'Front page'!$E$3</f>
        <v>110959.59661956668</v>
      </c>
      <c r="AL111" s="6">
        <f>S111*'Front page'!$E$3</f>
        <v>23566.639989996467</v>
      </c>
      <c r="AM111" s="5">
        <f>Z111*'Front page'!$E$3</f>
        <v>0</v>
      </c>
      <c r="AN111" s="6">
        <f>T111*'Front page'!$E$3</f>
        <v>3318.9684652578353</v>
      </c>
      <c r="AO111" s="6">
        <f>U111*'Front page'!$E$3</f>
        <v>0</v>
      </c>
      <c r="AP111" s="6">
        <f>W111*'Front page'!$E$3</f>
        <v>813585.7624764893</v>
      </c>
      <c r="AQ111" s="6">
        <f>V111*'Front page'!$E$3</f>
        <v>0</v>
      </c>
      <c r="AR111" s="6">
        <f>X111*'Front page'!$E$3</f>
        <v>0</v>
      </c>
      <c r="AS111" s="6">
        <f t="shared" si="16"/>
        <v>2718437.9951345869</v>
      </c>
      <c r="AT111" s="7">
        <f>IF(AS111&gt;'Funding Comparison'!D111*(1+'Front page'!$H$10),'Funding Comparison'!D111*(1+'Front page'!$H$10),AS111)</f>
        <v>2718437.9951345869</v>
      </c>
    </row>
    <row r="112" spans="1:46">
      <c r="A112" t="str">
        <f t="shared" si="9"/>
        <v>418</v>
      </c>
      <c r="B112">
        <f t="shared" si="11"/>
        <v>418</v>
      </c>
      <c r="C112" s="14" t="s">
        <v>120</v>
      </c>
      <c r="D112">
        <f>IF(settings!$G$4=0,'Student Enrollment Data'!AX113,'Student Enrollment Data'!CK113)</f>
        <v>343</v>
      </c>
      <c r="E112">
        <f>IF(settings!$G$4=0,'Student Enrollment Data'!AY113,'Student Enrollment Data'!CL113)</f>
        <v>113</v>
      </c>
      <c r="F112">
        <f>IF(settings!$G$4=0,'Student Enrollment Data'!AZ113,'Student Enrollment Data'!CM113)</f>
        <v>84</v>
      </c>
      <c r="G112" s="23">
        <f>'Student Enrollment Data'!BK113</f>
        <v>31</v>
      </c>
      <c r="H112">
        <f>'Student Enrollment Data'!BF113</f>
        <v>237</v>
      </c>
      <c r="I112">
        <f>SUM('Student Enrollment Data'!R113:X113,'Student Enrollment Data'!AQ113:AW113)</f>
        <v>0</v>
      </c>
      <c r="J112">
        <f>'Student Enrollment Data'!BS113</f>
        <v>50</v>
      </c>
      <c r="K112">
        <f t="shared" si="12"/>
        <v>34.300000000000004</v>
      </c>
      <c r="M112" s="27">
        <f t="shared" si="17"/>
        <v>343</v>
      </c>
      <c r="N112" s="27">
        <f>E112*'Front page'!$B$20</f>
        <v>11.3</v>
      </c>
      <c r="O112" s="27">
        <f>F112*'Front page'!$B$21</f>
        <v>8.4</v>
      </c>
      <c r="P112">
        <f>G112*'Front page'!$B$18</f>
        <v>3.1</v>
      </c>
      <c r="Q112" s="27">
        <f>IF(settings!$B$4=0,Calculations!H112,Calculations!I112) *'Front page'!$B$11</f>
        <v>23.700000000000003</v>
      </c>
      <c r="R112" s="28">
        <f>ROUND(I112*'Front page'!$B$9,2)</f>
        <v>0</v>
      </c>
      <c r="S112" s="27">
        <f>J112*'Front page'!$B$14</f>
        <v>5</v>
      </c>
      <c r="T112" s="81">
        <f>'Front page'!$B$16*Calculations!K112</f>
        <v>0.68600000000000005</v>
      </c>
      <c r="U112" s="81">
        <f>IF(settings!$B$13=0,(Calculations!M112*'Economic Adjustment'!O111)-Calculations!M112,0)</f>
        <v>0</v>
      </c>
      <c r="V112" s="154">
        <f>VLOOKUP(B112,'Remote School Building Weight'!$M$2:$P$174,3,FALSE)</f>
        <v>0</v>
      </c>
      <c r="W112" s="23">
        <f>'Small Dist Weight'!V111-Calculations!D112</f>
        <v>145.55221786833863</v>
      </c>
      <c r="X112" s="23">
        <f>IF(settings!$P$9=0,'Large District Weight'!H111*'Large District Weight'!G111,0)</f>
        <v>0</v>
      </c>
      <c r="Y112" s="23">
        <f t="shared" si="13"/>
        <v>540.73821786833855</v>
      </c>
      <c r="Z112" s="23">
        <f>IF(settings!$F$13=0,'Teacher Exp'!L112,0)</f>
        <v>0</v>
      </c>
      <c r="AA112" s="23">
        <f t="shared" si="14"/>
        <v>540.73821786833855</v>
      </c>
      <c r="AC112" s="24">
        <f>'Student Enrollment Data'!BU113</f>
        <v>31</v>
      </c>
      <c r="AD112" s="24">
        <f t="shared" si="15"/>
        <v>34.300000000000004</v>
      </c>
      <c r="AE112" s="24">
        <f>AD112*'Front page'!$B$16</f>
        <v>0.68600000000000005</v>
      </c>
      <c r="AG112" s="6">
        <f>M112*'Front page'!$E$3</f>
        <v>1684032.8159518305</v>
      </c>
      <c r="AH112" s="6">
        <f>N112*'Front page'!$E$3</f>
        <v>55479.798309783342</v>
      </c>
      <c r="AI112" s="6">
        <f>O112*'Front page'!$E$3</f>
        <v>41241.619982493808</v>
      </c>
      <c r="AJ112" s="6">
        <f>P112*'Front page'!$E$3</f>
        <v>15220.121660206049</v>
      </c>
      <c r="AK112" s="6">
        <f>Q112*'Front page'!$E$3</f>
        <v>116360.28495060754</v>
      </c>
      <c r="AL112" s="6">
        <f>S112*'Front page'!$E$3</f>
        <v>24548.583322912982</v>
      </c>
      <c r="AM112" s="5">
        <f>Z112*'Front page'!$E$3</f>
        <v>0</v>
      </c>
      <c r="AN112" s="6">
        <f>T112*'Front page'!$E$3</f>
        <v>3368.0656319036616</v>
      </c>
      <c r="AO112" s="6">
        <f>U112*'Front page'!$E$3</f>
        <v>0</v>
      </c>
      <c r="AP112" s="6">
        <f>W112*'Front page'!$E$3</f>
        <v>714620.14963513892</v>
      </c>
      <c r="AQ112" s="6">
        <f>V112*'Front page'!$E$3</f>
        <v>0</v>
      </c>
      <c r="AR112" s="6">
        <f>X112*'Front page'!$E$3</f>
        <v>0</v>
      </c>
      <c r="AS112" s="6">
        <f t="shared" si="16"/>
        <v>2654871.4394448767</v>
      </c>
      <c r="AT112" s="7">
        <f>IF(AS112&gt;'Funding Comparison'!D112*(1+'Front page'!$H$10),'Funding Comparison'!D112*(1+'Front page'!$H$10),AS112)</f>
        <v>2654871.4394448767</v>
      </c>
    </row>
    <row r="113" spans="1:46">
      <c r="A113" t="str">
        <f t="shared" si="9"/>
        <v>421</v>
      </c>
      <c r="B113">
        <f t="shared" si="11"/>
        <v>421</v>
      </c>
      <c r="C113" s="14" t="s">
        <v>121</v>
      </c>
      <c r="D113">
        <f>IF(settings!$G$4=0,'Student Enrollment Data'!AX114,'Student Enrollment Data'!CK114)</f>
        <v>1229</v>
      </c>
      <c r="E113">
        <f>IF(settings!$G$4=0,'Student Enrollment Data'!AY114,'Student Enrollment Data'!CL114)</f>
        <v>321</v>
      </c>
      <c r="F113">
        <f>IF(settings!$G$4=0,'Student Enrollment Data'!AZ114,'Student Enrollment Data'!CM114)</f>
        <v>383</v>
      </c>
      <c r="G113" s="23">
        <f>'Student Enrollment Data'!BK114</f>
        <v>129</v>
      </c>
      <c r="H113">
        <f>'Student Enrollment Data'!BF114</f>
        <v>323</v>
      </c>
      <c r="I113">
        <f>SUM('Student Enrollment Data'!R114:X114,'Student Enrollment Data'!AQ114:AW114)</f>
        <v>18.829257142857152</v>
      </c>
      <c r="J113">
        <f>'Student Enrollment Data'!BS114</f>
        <v>43</v>
      </c>
      <c r="K113">
        <f t="shared" si="12"/>
        <v>122.9</v>
      </c>
      <c r="M113" s="27">
        <f t="shared" si="17"/>
        <v>1229</v>
      </c>
      <c r="N113" s="27">
        <f>E113*'Front page'!$B$20</f>
        <v>32.1</v>
      </c>
      <c r="O113" s="27">
        <f>F113*'Front page'!$B$21</f>
        <v>38.300000000000004</v>
      </c>
      <c r="P113">
        <f>G113*'Front page'!$B$18</f>
        <v>12.9</v>
      </c>
      <c r="Q113" s="27">
        <f>IF(settings!$B$4=0,Calculations!H113,Calculations!I113) *'Front page'!$B$11</f>
        <v>32.300000000000004</v>
      </c>
      <c r="R113" s="28">
        <f>ROUND(I113*'Front page'!$B$9,2)</f>
        <v>0</v>
      </c>
      <c r="S113" s="27">
        <f>J113*'Front page'!$B$14</f>
        <v>4.3</v>
      </c>
      <c r="T113" s="81">
        <f>'Front page'!$B$16*Calculations!K113</f>
        <v>2.4580000000000002</v>
      </c>
      <c r="U113" s="81">
        <f>IF(settings!$B$13=0,(Calculations!M113*'Economic Adjustment'!O112)-Calculations!M113,0)</f>
        <v>0</v>
      </c>
      <c r="V113" s="154">
        <f>VLOOKUP(B113,'Remote School Building Weight'!$M$2:$P$174,3,FALSE)</f>
        <v>47.456426908108227</v>
      </c>
      <c r="W113" s="23">
        <f>'Small Dist Weight'!V112-Calculations!D113</f>
        <v>102.19034482758616</v>
      </c>
      <c r="X113" s="23">
        <f>IF(settings!$P$9=0,'Large District Weight'!H112*'Large District Weight'!G112,0)</f>
        <v>0</v>
      </c>
      <c r="Y113" s="23">
        <f t="shared" si="13"/>
        <v>1501.0047717356942</v>
      </c>
      <c r="Z113" s="23">
        <f>IF(settings!$F$13=0,'Teacher Exp'!L113,0)</f>
        <v>0</v>
      </c>
      <c r="AA113" s="23">
        <f t="shared" si="14"/>
        <v>1501.0047717356942</v>
      </c>
      <c r="AC113" s="24">
        <f>'Student Enrollment Data'!BU114</f>
        <v>47</v>
      </c>
      <c r="AD113" s="24">
        <f t="shared" si="15"/>
        <v>122.9</v>
      </c>
      <c r="AE113" s="24">
        <f>AD113*'Front page'!$B$16</f>
        <v>2.4580000000000002</v>
      </c>
      <c r="AG113" s="6">
        <f>M113*'Front page'!$E$3</f>
        <v>6034041.7807720108</v>
      </c>
      <c r="AH113" s="6">
        <f>N113*'Front page'!$E$3</f>
        <v>157601.90493310135</v>
      </c>
      <c r="AI113" s="6">
        <f>O113*'Front page'!$E$3</f>
        <v>188042.14825351347</v>
      </c>
      <c r="AJ113" s="6">
        <f>P113*'Front page'!$E$3</f>
        <v>63335.344973115498</v>
      </c>
      <c r="AK113" s="6">
        <f>Q113*'Front page'!$E$3</f>
        <v>158583.84826601789</v>
      </c>
      <c r="AL113" s="6">
        <f>S113*'Front page'!$E$3</f>
        <v>21111.781657705164</v>
      </c>
      <c r="AM113" s="5">
        <f>Z113*'Front page'!$E$3</f>
        <v>0</v>
      </c>
      <c r="AN113" s="6">
        <f>T113*'Front page'!$E$3</f>
        <v>12068.083561544023</v>
      </c>
      <c r="AO113" s="6">
        <f>U113*'Front page'!$E$3</f>
        <v>0</v>
      </c>
      <c r="AP113" s="6">
        <f>W113*'Front page'!$E$3</f>
        <v>501725.63895944168</v>
      </c>
      <c r="AQ113" s="6">
        <f>V113*'Front page'!$E$3</f>
        <v>232997.61003228489</v>
      </c>
      <c r="AR113" s="6">
        <f>X113*'Front page'!$E$3</f>
        <v>0</v>
      </c>
      <c r="AS113" s="6">
        <f t="shared" si="16"/>
        <v>7369508.141408734</v>
      </c>
      <c r="AT113" s="7">
        <f>IF(AS113&gt;'Funding Comparison'!D113*(1+'Front page'!$H$10),'Funding Comparison'!D113*(1+'Front page'!$H$10),AS113)</f>
        <v>4218137.2275</v>
      </c>
    </row>
    <row r="114" spans="1:46">
      <c r="A114" t="str">
        <f t="shared" si="9"/>
        <v>422</v>
      </c>
      <c r="B114">
        <f t="shared" si="11"/>
        <v>422</v>
      </c>
      <c r="C114" s="14" t="s">
        <v>122</v>
      </c>
      <c r="D114">
        <f>IF(settings!$G$4=0,'Student Enrollment Data'!AX115,'Student Enrollment Data'!CK115)</f>
        <v>209</v>
      </c>
      <c r="E114">
        <f>IF(settings!$G$4=0,'Student Enrollment Data'!AY115,'Student Enrollment Data'!CL115)</f>
        <v>50</v>
      </c>
      <c r="F114">
        <f>IF(settings!$G$4=0,'Student Enrollment Data'!AZ115,'Student Enrollment Data'!CM115)</f>
        <v>81</v>
      </c>
      <c r="G114" s="23">
        <f>'Student Enrollment Data'!BK115</f>
        <v>40</v>
      </c>
      <c r="H114">
        <f>'Student Enrollment Data'!BF115</f>
        <v>90</v>
      </c>
      <c r="I114">
        <f>SUM('Student Enrollment Data'!R115:X115,'Student Enrollment Data'!AQ115:AW115)</f>
        <v>0</v>
      </c>
      <c r="J114">
        <f>'Student Enrollment Data'!BS115</f>
        <v>0</v>
      </c>
      <c r="K114">
        <f t="shared" si="12"/>
        <v>20.900000000000002</v>
      </c>
      <c r="M114" s="27">
        <f t="shared" si="17"/>
        <v>209</v>
      </c>
      <c r="N114" s="27">
        <f>E114*'Front page'!$B$20</f>
        <v>5</v>
      </c>
      <c r="O114" s="27">
        <f>F114*'Front page'!$B$21</f>
        <v>8.1</v>
      </c>
      <c r="P114">
        <f>G114*'Front page'!$B$18</f>
        <v>4</v>
      </c>
      <c r="Q114" s="27">
        <f>IF(settings!$B$4=0,Calculations!H114,Calculations!I114) *'Front page'!$B$11</f>
        <v>9</v>
      </c>
      <c r="R114" s="28">
        <f>ROUND(I114*'Front page'!$B$9,2)</f>
        <v>0</v>
      </c>
      <c r="S114" s="27">
        <f>J114*'Front page'!$B$14</f>
        <v>0</v>
      </c>
      <c r="T114" s="81">
        <f>'Front page'!$B$16*Calculations!K114</f>
        <v>0.41800000000000004</v>
      </c>
      <c r="U114" s="81">
        <f>IF(settings!$B$13=0,(Calculations!M114*'Economic Adjustment'!O113)-Calculations!M114,0)</f>
        <v>0</v>
      </c>
      <c r="V114" s="154">
        <f>VLOOKUP(B114,'Remote School Building Weight'!$M$2:$P$174,3,FALSE)</f>
        <v>0</v>
      </c>
      <c r="W114" s="23">
        <f>'Small Dist Weight'!V113-Calculations!D114</f>
        <v>152.34825235109719</v>
      </c>
      <c r="X114" s="23">
        <f>IF(settings!$P$9=0,'Large District Weight'!H113*'Large District Weight'!G113,0)</f>
        <v>0</v>
      </c>
      <c r="Y114" s="23">
        <f t="shared" si="13"/>
        <v>387.86625235109716</v>
      </c>
      <c r="Z114" s="23">
        <f>IF(settings!$F$13=0,'Teacher Exp'!L114,0)</f>
        <v>0</v>
      </c>
      <c r="AA114" s="23">
        <f t="shared" si="14"/>
        <v>387.86625235109716</v>
      </c>
      <c r="AC114" s="24">
        <f>'Student Enrollment Data'!BU115</f>
        <v>0</v>
      </c>
      <c r="AD114" s="24">
        <f t="shared" si="15"/>
        <v>20.900000000000002</v>
      </c>
      <c r="AE114" s="24">
        <f>AD114*'Front page'!$B$16</f>
        <v>0.41800000000000004</v>
      </c>
      <c r="AG114" s="6">
        <f>M114*'Front page'!$E$3</f>
        <v>1026130.7828977626</v>
      </c>
      <c r="AH114" s="6">
        <f>N114*'Front page'!$E$3</f>
        <v>24548.583322912982</v>
      </c>
      <c r="AI114" s="6">
        <f>O114*'Front page'!$E$3</f>
        <v>39768.704983119031</v>
      </c>
      <c r="AJ114" s="6">
        <f>P114*'Front page'!$E$3</f>
        <v>19638.866658330386</v>
      </c>
      <c r="AK114" s="6">
        <f>Q114*'Front page'!$E$3</f>
        <v>44187.449981243364</v>
      </c>
      <c r="AL114" s="6">
        <f>S114*'Front page'!$E$3</f>
        <v>0</v>
      </c>
      <c r="AM114" s="5">
        <f>Z114*'Front page'!$E$3</f>
        <v>0</v>
      </c>
      <c r="AN114" s="6">
        <f>T114*'Front page'!$E$3</f>
        <v>2052.2615657955257</v>
      </c>
      <c r="AO114" s="6">
        <f>U114*'Front page'!$E$3</f>
        <v>0</v>
      </c>
      <c r="AP114" s="6">
        <f>W114*'Front page'!$E$3</f>
        <v>747986.7533882166</v>
      </c>
      <c r="AQ114" s="6">
        <f>V114*'Front page'!$E$3</f>
        <v>0</v>
      </c>
      <c r="AR114" s="6">
        <f>X114*'Front page'!$E$3</f>
        <v>0</v>
      </c>
      <c r="AS114" s="6">
        <f t="shared" si="16"/>
        <v>1904313.4027973805</v>
      </c>
      <c r="AT114" s="7">
        <f>IF(AS114&gt;'Funding Comparison'!D114*(1+'Front page'!$H$10),'Funding Comparison'!D114*(1+'Front page'!$H$10),AS114)</f>
        <v>1904313.4027973805</v>
      </c>
    </row>
    <row r="115" spans="1:46">
      <c r="A115" t="str">
        <f t="shared" si="9"/>
        <v>431</v>
      </c>
      <c r="B115">
        <f t="shared" si="11"/>
        <v>431</v>
      </c>
      <c r="C115" s="14" t="s">
        <v>123</v>
      </c>
      <c r="D115">
        <f>IF(settings!$G$4=0,'Student Enrollment Data'!AX116,'Student Enrollment Data'!CK116)</f>
        <v>1523.0107156862746</v>
      </c>
      <c r="E115">
        <f>IF(settings!$G$4=0,'Student Enrollment Data'!AY116,'Student Enrollment Data'!CL116)</f>
        <v>379</v>
      </c>
      <c r="F115">
        <f>IF(settings!$G$4=0,'Student Enrollment Data'!AZ116,'Student Enrollment Data'!CM116)</f>
        <v>529.09558823529414</v>
      </c>
      <c r="G115" s="23">
        <f>'Student Enrollment Data'!BK116</f>
        <v>155</v>
      </c>
      <c r="H115">
        <f>'Student Enrollment Data'!BF116</f>
        <v>694</v>
      </c>
      <c r="I115">
        <f>SUM('Student Enrollment Data'!R116:X116,'Student Enrollment Data'!AQ116:AW116)</f>
        <v>59.924207162774501</v>
      </c>
      <c r="J115">
        <f>'Student Enrollment Data'!BS116</f>
        <v>217</v>
      </c>
      <c r="K115">
        <f t="shared" si="12"/>
        <v>152.30107156862746</v>
      </c>
      <c r="M115" s="27">
        <f t="shared" si="17"/>
        <v>1523.0107156862746</v>
      </c>
      <c r="N115" s="27">
        <f>E115*'Front page'!$B$20</f>
        <v>37.9</v>
      </c>
      <c r="O115" s="27">
        <f>F115*'Front page'!$B$21</f>
        <v>52.909558823529416</v>
      </c>
      <c r="P115">
        <f>G115*'Front page'!$B$18</f>
        <v>15.5</v>
      </c>
      <c r="Q115" s="27">
        <f>IF(settings!$B$4=0,Calculations!H115,Calculations!I115) *'Front page'!$B$11</f>
        <v>69.400000000000006</v>
      </c>
      <c r="R115" s="28">
        <f>ROUND(I115*'Front page'!$B$9,2)</f>
        <v>0</v>
      </c>
      <c r="S115" s="27">
        <f>J115*'Front page'!$B$14</f>
        <v>21.700000000000003</v>
      </c>
      <c r="T115" s="81">
        <f>'Front page'!$B$16*Calculations!K115</f>
        <v>3.0460214313725493</v>
      </c>
      <c r="U115" s="81">
        <f>IF(settings!$B$13=0,(Calculations!M115*'Economic Adjustment'!O114)-Calculations!M115,0)</f>
        <v>0</v>
      </c>
      <c r="V115" s="154">
        <f>VLOOKUP(B115,'Remote School Building Weight'!$M$2:$P$174,3,FALSE)</f>
        <v>0</v>
      </c>
      <c r="W115" s="23">
        <f>'Small Dist Weight'!V114-Calculations!D115</f>
        <v>32.748057087657344</v>
      </c>
      <c r="X115" s="23">
        <f>IF(settings!$P$9=0,'Large District Weight'!H114*'Large District Weight'!G114,0)</f>
        <v>0</v>
      </c>
      <c r="Y115" s="23">
        <f t="shared" si="13"/>
        <v>1756.214353028834</v>
      </c>
      <c r="Z115" s="23">
        <f>IF(settings!$F$13=0,'Teacher Exp'!L115,0)</f>
        <v>0</v>
      </c>
      <c r="AA115" s="23">
        <f t="shared" si="14"/>
        <v>1756.214353028834</v>
      </c>
      <c r="AC115" s="24">
        <f>'Student Enrollment Data'!BU116</f>
        <v>0</v>
      </c>
      <c r="AD115" s="24">
        <f t="shared" si="15"/>
        <v>152.30107156862746</v>
      </c>
      <c r="AE115" s="24">
        <f>AD115*'Front page'!$B$16</f>
        <v>3.0460214313725493</v>
      </c>
      <c r="AG115" s="6">
        <f>M115*'Front page'!$E$3</f>
        <v>7477551.091142769</v>
      </c>
      <c r="AH115" s="6">
        <f>N115*'Front page'!$E$3</f>
        <v>186078.2615876804</v>
      </c>
      <c r="AI115" s="6">
        <f>O115*'Front page'!$E$3</f>
        <v>259770.94267159552</v>
      </c>
      <c r="AJ115" s="6">
        <f>P115*'Front page'!$E$3</f>
        <v>76100.608301030239</v>
      </c>
      <c r="AK115" s="6">
        <f>Q115*'Front page'!$E$3</f>
        <v>340734.33652203222</v>
      </c>
      <c r="AL115" s="6">
        <f>S115*'Front page'!$E$3</f>
        <v>106540.85162144236</v>
      </c>
      <c r="AM115" s="5">
        <f>Z115*'Front page'!$E$3</f>
        <v>0</v>
      </c>
      <c r="AN115" s="6">
        <f>T115*'Front page'!$E$3</f>
        <v>14955.102182285538</v>
      </c>
      <c r="AO115" s="6">
        <f>U115*'Front page'!$E$3</f>
        <v>0</v>
      </c>
      <c r="AP115" s="6">
        <f>W115*'Front page'!$E$3</f>
        <v>160783.68161597347</v>
      </c>
      <c r="AQ115" s="6">
        <f>V115*'Front page'!$E$3</f>
        <v>0</v>
      </c>
      <c r="AR115" s="6">
        <f>X115*'Front page'!$E$3</f>
        <v>0</v>
      </c>
      <c r="AS115" s="6">
        <f t="shared" si="16"/>
        <v>8622514.8756448086</v>
      </c>
      <c r="AT115" s="7">
        <f>IF(AS115&gt;'Funding Comparison'!D115*(1+'Front page'!$H$10),'Funding Comparison'!D115*(1+'Front page'!$H$10),AS115)</f>
        <v>4476924.7215</v>
      </c>
    </row>
    <row r="116" spans="1:46">
      <c r="A116" t="str">
        <f t="shared" si="9"/>
        <v>432</v>
      </c>
      <c r="B116">
        <f t="shared" si="11"/>
        <v>432</v>
      </c>
      <c r="C116" s="14" t="s">
        <v>124</v>
      </c>
      <c r="D116">
        <f>IF(settings!$G$4=0,'Student Enrollment Data'!AX117,'Student Enrollment Data'!CK117)</f>
        <v>114</v>
      </c>
      <c r="E116">
        <f>IF(settings!$G$4=0,'Student Enrollment Data'!AY117,'Student Enrollment Data'!CL117)</f>
        <v>29</v>
      </c>
      <c r="F116">
        <f>IF(settings!$G$4=0,'Student Enrollment Data'!AZ117,'Student Enrollment Data'!CM117)</f>
        <v>33</v>
      </c>
      <c r="G116" s="23">
        <f>'Student Enrollment Data'!BK117</f>
        <v>24</v>
      </c>
      <c r="H116">
        <f>'Student Enrollment Data'!BF117</f>
        <v>49.88</v>
      </c>
      <c r="I116">
        <f>SUM('Student Enrollment Data'!R117:X117,'Student Enrollment Data'!AQ117:AW117)</f>
        <v>0</v>
      </c>
      <c r="J116">
        <f>'Student Enrollment Data'!BS117</f>
        <v>0</v>
      </c>
      <c r="K116">
        <f t="shared" si="12"/>
        <v>11.4</v>
      </c>
      <c r="M116" s="27">
        <f t="shared" si="17"/>
        <v>114</v>
      </c>
      <c r="N116" s="27">
        <f>E116*'Front page'!$B$20</f>
        <v>2.9000000000000004</v>
      </c>
      <c r="O116" s="27">
        <f>F116*'Front page'!$B$21</f>
        <v>3.3000000000000003</v>
      </c>
      <c r="P116">
        <f>G116*'Front page'!$B$18</f>
        <v>2.4000000000000004</v>
      </c>
      <c r="Q116" s="27">
        <f>IF(settings!$B$4=0,Calculations!H116,Calculations!I116) *'Front page'!$B$11</f>
        <v>4.9880000000000004</v>
      </c>
      <c r="R116" s="28">
        <f>ROUND(I116*'Front page'!$B$9,2)</f>
        <v>0</v>
      </c>
      <c r="S116" s="27">
        <f>J116*'Front page'!$B$14</f>
        <v>0</v>
      </c>
      <c r="T116" s="81">
        <f>'Front page'!$B$16*Calculations!K116</f>
        <v>0.22800000000000001</v>
      </c>
      <c r="U116" s="81">
        <f>IF(settings!$B$13=0,(Calculations!M116*'Economic Adjustment'!O115)-Calculations!M116,0)</f>
        <v>0</v>
      </c>
      <c r="V116" s="154">
        <f>VLOOKUP(B116,'Remote School Building Weight'!$M$2:$P$174,3,FALSE)</f>
        <v>0</v>
      </c>
      <c r="W116" s="23">
        <f>'Small Dist Weight'!V115-Calculations!D116</f>
        <v>183.1035971786834</v>
      </c>
      <c r="X116" s="23">
        <f>IF(settings!$P$9=0,'Large District Weight'!H115*'Large District Weight'!G115,0)</f>
        <v>0</v>
      </c>
      <c r="Y116" s="23">
        <f t="shared" si="13"/>
        <v>310.91959717868338</v>
      </c>
      <c r="Z116" s="23">
        <f>IF(settings!$F$13=0,'Teacher Exp'!L116,0)</f>
        <v>0</v>
      </c>
      <c r="AA116" s="23">
        <f t="shared" si="14"/>
        <v>310.91959717868338</v>
      </c>
      <c r="AC116" s="24">
        <f>'Student Enrollment Data'!BU117</f>
        <v>0</v>
      </c>
      <c r="AD116" s="24">
        <f t="shared" si="15"/>
        <v>11.4</v>
      </c>
      <c r="AE116" s="24">
        <f>AD116*'Front page'!$B$16</f>
        <v>0.22800000000000001</v>
      </c>
      <c r="AG116" s="6">
        <f>M116*'Front page'!$E$3</f>
        <v>559707.69976241596</v>
      </c>
      <c r="AH116" s="6">
        <f>N116*'Front page'!$E$3</f>
        <v>14238.178327289532</v>
      </c>
      <c r="AI116" s="6">
        <f>O116*'Front page'!$E$3</f>
        <v>16202.064993122569</v>
      </c>
      <c r="AJ116" s="6">
        <f>P116*'Front page'!$E$3</f>
        <v>11783.319994998234</v>
      </c>
      <c r="AK116" s="6">
        <f>Q116*'Front page'!$E$3</f>
        <v>24489.666722937993</v>
      </c>
      <c r="AL116" s="6">
        <f>S116*'Front page'!$E$3</f>
        <v>0</v>
      </c>
      <c r="AM116" s="5">
        <f>Z116*'Front page'!$E$3</f>
        <v>0</v>
      </c>
      <c r="AN116" s="6">
        <f>T116*'Front page'!$E$3</f>
        <v>1119.4153995248321</v>
      </c>
      <c r="AO116" s="6">
        <f>U116*'Front page'!$E$3</f>
        <v>0</v>
      </c>
      <c r="AP116" s="6">
        <f>W116*'Front page'!$E$3</f>
        <v>898986.78241320082</v>
      </c>
      <c r="AQ116" s="6">
        <f>V116*'Front page'!$E$3</f>
        <v>0</v>
      </c>
      <c r="AR116" s="6">
        <f>X116*'Front page'!$E$3</f>
        <v>0</v>
      </c>
      <c r="AS116" s="6">
        <f t="shared" si="16"/>
        <v>1526527.12761349</v>
      </c>
      <c r="AT116" s="7">
        <f>IF(AS116&gt;'Funding Comparison'!D116*(1+'Front page'!$H$10),'Funding Comparison'!D116*(1+'Front page'!$H$10),AS116)</f>
        <v>1526527.12761349</v>
      </c>
    </row>
    <row r="117" spans="1:46">
      <c r="A117" t="str">
        <f t="shared" si="9"/>
        <v>433</v>
      </c>
      <c r="B117">
        <f t="shared" si="11"/>
        <v>433</v>
      </c>
      <c r="C117" s="14" t="s">
        <v>125</v>
      </c>
      <c r="D117">
        <f>IF(settings!$G$4=0,'Student Enrollment Data'!AX118,'Student Enrollment Data'!CK118)</f>
        <v>111</v>
      </c>
      <c r="E117">
        <f>IF(settings!$G$4=0,'Student Enrollment Data'!AY118,'Student Enrollment Data'!CL118)</f>
        <v>20</v>
      </c>
      <c r="F117">
        <f>IF(settings!$G$4=0,'Student Enrollment Data'!AZ118,'Student Enrollment Data'!CM118)</f>
        <v>40</v>
      </c>
      <c r="G117" s="23">
        <f>'Student Enrollment Data'!BK118</f>
        <v>13</v>
      </c>
      <c r="H117">
        <f>'Student Enrollment Data'!BF118</f>
        <v>49.45</v>
      </c>
      <c r="I117">
        <f>SUM('Student Enrollment Data'!R118:X118,'Student Enrollment Data'!AQ118:AW118)</f>
        <v>13.277886341181755</v>
      </c>
      <c r="J117">
        <f>'Student Enrollment Data'!BS118</f>
        <v>0</v>
      </c>
      <c r="K117">
        <f t="shared" si="12"/>
        <v>11.100000000000001</v>
      </c>
      <c r="M117" s="27">
        <f t="shared" si="17"/>
        <v>111</v>
      </c>
      <c r="N117" s="27">
        <f>E117*'Front page'!$B$20</f>
        <v>2</v>
      </c>
      <c r="O117" s="27">
        <f>F117*'Front page'!$B$21</f>
        <v>4</v>
      </c>
      <c r="P117">
        <f>G117*'Front page'!$B$18</f>
        <v>1.3</v>
      </c>
      <c r="Q117" s="27">
        <f>IF(settings!$B$4=0,Calculations!H117,Calculations!I117) *'Front page'!$B$11</f>
        <v>4.9450000000000003</v>
      </c>
      <c r="R117" s="28">
        <f>ROUND(I117*'Front page'!$B$9,2)</f>
        <v>0</v>
      </c>
      <c r="S117" s="27">
        <f>J117*'Front page'!$B$14</f>
        <v>0</v>
      </c>
      <c r="T117" s="81">
        <f>'Front page'!$B$16*Calculations!K117</f>
        <v>0.22200000000000003</v>
      </c>
      <c r="U117" s="81">
        <f>IF(settings!$B$13=0,(Calculations!M117*'Economic Adjustment'!O116)-Calculations!M117,0)</f>
        <v>0</v>
      </c>
      <c r="V117" s="154">
        <f>VLOOKUP(B117,'Remote School Building Weight'!$M$2:$P$174,3,FALSE)</f>
        <v>0</v>
      </c>
      <c r="W117" s="23">
        <f>'Small Dist Weight'!V116-Calculations!D117</f>
        <v>171.13996081504706</v>
      </c>
      <c r="X117" s="23">
        <f>IF(settings!$P$9=0,'Large District Weight'!H116*'Large District Weight'!G116,0)</f>
        <v>0</v>
      </c>
      <c r="Y117" s="23">
        <f t="shared" si="13"/>
        <v>294.60696081504705</v>
      </c>
      <c r="Z117" s="23">
        <f>IF(settings!$F$13=0,'Teacher Exp'!L117,0)</f>
        <v>0</v>
      </c>
      <c r="AA117" s="23">
        <f t="shared" si="14"/>
        <v>294.60696081504705</v>
      </c>
      <c r="AC117" s="24">
        <f>'Student Enrollment Data'!BU118</f>
        <v>8</v>
      </c>
      <c r="AD117" s="24">
        <f t="shared" si="15"/>
        <v>11.100000000000001</v>
      </c>
      <c r="AE117" s="24">
        <f>AD117*'Front page'!$B$16</f>
        <v>0.22200000000000003</v>
      </c>
      <c r="AG117" s="6">
        <f>M117*'Front page'!$E$3</f>
        <v>544978.54976866825</v>
      </c>
      <c r="AH117" s="6">
        <f>N117*'Front page'!$E$3</f>
        <v>9819.4333291651928</v>
      </c>
      <c r="AI117" s="6">
        <f>O117*'Front page'!$E$3</f>
        <v>19638.866658330386</v>
      </c>
      <c r="AJ117" s="6">
        <f>P117*'Front page'!$E$3</f>
        <v>6382.6316639573752</v>
      </c>
      <c r="AK117" s="6">
        <f>Q117*'Front page'!$E$3</f>
        <v>24278.548906360942</v>
      </c>
      <c r="AL117" s="6">
        <f>S117*'Front page'!$E$3</f>
        <v>0</v>
      </c>
      <c r="AM117" s="5">
        <f>Z117*'Front page'!$E$3</f>
        <v>0</v>
      </c>
      <c r="AN117" s="6">
        <f>T117*'Front page'!$E$3</f>
        <v>1089.9570995373365</v>
      </c>
      <c r="AO117" s="6">
        <f>U117*'Front page'!$E$3</f>
        <v>0</v>
      </c>
      <c r="AP117" s="6">
        <f>W117*'Front page'!$E$3</f>
        <v>840248.71758964914</v>
      </c>
      <c r="AQ117" s="6">
        <f>V117*'Front page'!$E$3</f>
        <v>0</v>
      </c>
      <c r="AR117" s="6">
        <f>X117*'Front page'!$E$3</f>
        <v>0</v>
      </c>
      <c r="AS117" s="6">
        <f t="shared" si="16"/>
        <v>1446436.7050156686</v>
      </c>
      <c r="AT117" s="7">
        <f>IF(AS117&gt;'Funding Comparison'!D117*(1+'Front page'!$H$10),'Funding Comparison'!D117*(1+'Front page'!$H$10),AS117)</f>
        <v>1446436.7050156686</v>
      </c>
    </row>
    <row r="118" spans="1:46" s="27" customFormat="1">
      <c r="A118" s="27" t="str">
        <f t="shared" si="9"/>
        <v>451</v>
      </c>
      <c r="B118" s="27">
        <f t="shared" si="11"/>
        <v>451</v>
      </c>
      <c r="C118" s="15" t="s">
        <v>126</v>
      </c>
      <c r="D118">
        <f>IF(settings!$G$4=0,'Student Enrollment Data'!AX119,'Student Enrollment Data'!CK119)</f>
        <v>394</v>
      </c>
      <c r="E118">
        <f>IF(settings!$G$4=0,'Student Enrollment Data'!AY119,'Student Enrollment Data'!CL119)</f>
        <v>99</v>
      </c>
      <c r="F118">
        <f>IF(settings!$G$4=0,'Student Enrollment Data'!AZ119,'Student Enrollment Data'!CM119)</f>
        <v>141</v>
      </c>
      <c r="G118" s="28">
        <f>'Student Enrollment Data'!BK119</f>
        <v>9</v>
      </c>
      <c r="H118" s="27">
        <f>'Student Enrollment Data'!BF119</f>
        <v>141</v>
      </c>
      <c r="I118">
        <f>SUM('Student Enrollment Data'!R119:X119,'Student Enrollment Data'!AQ119:AW119)</f>
        <v>0</v>
      </c>
      <c r="J118" s="27">
        <f>'Student Enrollment Data'!BS119</f>
        <v>0</v>
      </c>
      <c r="K118">
        <f t="shared" si="12"/>
        <v>39.400000000000006</v>
      </c>
      <c r="L118" s="25"/>
      <c r="M118" s="27">
        <f t="shared" si="17"/>
        <v>394</v>
      </c>
      <c r="N118" s="27">
        <f>E118*'Front page'!$B$20</f>
        <v>9.9</v>
      </c>
      <c r="O118" s="27">
        <f>F118*'Front page'!$B$21</f>
        <v>14.100000000000001</v>
      </c>
      <c r="P118">
        <f>G118*'Front page'!$B$18</f>
        <v>0.9</v>
      </c>
      <c r="Q118" s="27">
        <f>IF(settings!$B$4=0,Calculations!H118,Calculations!I118) *'Front page'!$B$11</f>
        <v>14.100000000000001</v>
      </c>
      <c r="R118" s="28">
        <f>ROUND(I118*'Front page'!$B$9,2)</f>
        <v>0</v>
      </c>
      <c r="S118" s="27">
        <f>J118*'Front page'!$B$14</f>
        <v>0</v>
      </c>
      <c r="T118" s="81">
        <f>'Front page'!$B$16*Calculations!K118</f>
        <v>0.78800000000000014</v>
      </c>
      <c r="U118" s="81">
        <f>IF(settings!$B$13=0,(Calculations!M118*'Economic Adjustment'!O117)-Calculations!M118,0)</f>
        <v>0</v>
      </c>
      <c r="V118" s="154">
        <f>VLOOKUP(B118,'Remote School Building Weight'!$M$2:$P$174,3,FALSE)</f>
        <v>0</v>
      </c>
      <c r="W118" s="23">
        <f>'Small Dist Weight'!V117-Calculations!D118</f>
        <v>180.3834169278997</v>
      </c>
      <c r="X118" s="23">
        <f>IF(settings!$P$9=0,'Large District Weight'!H117*'Large District Weight'!G117,0)</f>
        <v>0</v>
      </c>
      <c r="Y118" s="23">
        <f t="shared" si="13"/>
        <v>614.17141692789971</v>
      </c>
      <c r="Z118" s="23">
        <f>IF(settings!$F$13=0,'Teacher Exp'!L118,0)</f>
        <v>0</v>
      </c>
      <c r="AA118" s="23">
        <f t="shared" si="14"/>
        <v>614.17141692789971</v>
      </c>
      <c r="AB118" s="25"/>
      <c r="AC118" s="24">
        <f>'Student Enrollment Data'!BU119</f>
        <v>0</v>
      </c>
      <c r="AD118" s="24">
        <f t="shared" si="15"/>
        <v>39.400000000000006</v>
      </c>
      <c r="AE118" s="24">
        <f>AD118*'Front page'!$B$16</f>
        <v>0.78800000000000014</v>
      </c>
      <c r="AG118" s="6">
        <f>M118*'Front page'!$E$3</f>
        <v>1934428.3658455431</v>
      </c>
      <c r="AH118" s="6">
        <f>N118*'Front page'!$E$3</f>
        <v>48606.194979367705</v>
      </c>
      <c r="AI118" s="6">
        <f>O118*'Front page'!$E$3</f>
        <v>69227.004970614624</v>
      </c>
      <c r="AJ118" s="6">
        <f>P118*'Front page'!$E$3</f>
        <v>4418.7449981243371</v>
      </c>
      <c r="AK118" s="6">
        <f>Q118*'Front page'!$E$3</f>
        <v>69227.004970614624</v>
      </c>
      <c r="AL118" s="6">
        <f>S118*'Front page'!$E$3</f>
        <v>0</v>
      </c>
      <c r="AM118" s="5">
        <f>Z118*'Front page'!$E$3</f>
        <v>0</v>
      </c>
      <c r="AN118" s="6">
        <f>T118*'Front page'!$E$3</f>
        <v>3868.8567316910867</v>
      </c>
      <c r="AO118" s="6">
        <f>U118*'Front page'!$E$3</f>
        <v>0</v>
      </c>
      <c r="AP118" s="6">
        <f>W118*'Front page'!$E$3</f>
        <v>885631.46810525958</v>
      </c>
      <c r="AQ118" s="6">
        <f>V118*'Front page'!$E$3</f>
        <v>0</v>
      </c>
      <c r="AR118" s="6">
        <f>X118*'Front page'!$E$3</f>
        <v>0</v>
      </c>
      <c r="AS118" s="6">
        <f t="shared" si="16"/>
        <v>3015407.640601215</v>
      </c>
      <c r="AT118" s="7">
        <f>IF(AS118&gt;'Funding Comparison'!D118*(1+'Front page'!$H$10),'Funding Comparison'!D118*(1+'Front page'!$H$10),AS118)</f>
        <v>3015407.640601215</v>
      </c>
    </row>
    <row r="119" spans="1:46" s="27" customFormat="1">
      <c r="A119" s="27" t="str">
        <f t="shared" si="9"/>
        <v>452</v>
      </c>
      <c r="B119" s="27">
        <f t="shared" si="11"/>
        <v>452</v>
      </c>
      <c r="C119" s="15" t="s">
        <v>127</v>
      </c>
      <c r="D119">
        <f>IF(settings!$G$4=0,'Student Enrollment Data'!AX120,'Student Enrollment Data'!CK120)</f>
        <v>1762.3156862745097</v>
      </c>
      <c r="E119">
        <f>IF(settings!$G$4=0,'Student Enrollment Data'!AY120,'Student Enrollment Data'!CL120)</f>
        <v>266.5</v>
      </c>
      <c r="F119">
        <f>IF(settings!$G$4=0,'Student Enrollment Data'!AZ120,'Student Enrollment Data'!CM120)</f>
        <v>741.81568627450986</v>
      </c>
      <c r="G119" s="28">
        <f>'Student Enrollment Data'!BK120</f>
        <v>253</v>
      </c>
      <c r="H119" s="27">
        <f>'Student Enrollment Data'!BF120</f>
        <v>973</v>
      </c>
      <c r="I119">
        <f>SUM('Student Enrollment Data'!R120:X120,'Student Enrollment Data'!AQ120:AW120)</f>
        <v>219.27913220040583</v>
      </c>
      <c r="J119" s="27">
        <f>'Student Enrollment Data'!BS120</f>
        <v>6</v>
      </c>
      <c r="K119">
        <f t="shared" si="12"/>
        <v>176.231568627451</v>
      </c>
      <c r="L119" s="25"/>
      <c r="M119" s="27">
        <f t="shared" si="17"/>
        <v>1762.3156862745097</v>
      </c>
      <c r="N119" s="27">
        <f>E119*'Front page'!$B$20</f>
        <v>26.650000000000002</v>
      </c>
      <c r="O119" s="27">
        <f>F119*'Front page'!$B$21</f>
        <v>74.181568627450986</v>
      </c>
      <c r="P119">
        <f>G119*'Front page'!$B$18</f>
        <v>25.3</v>
      </c>
      <c r="Q119" s="27">
        <f>IF(settings!$B$4=0,Calculations!H119,Calculations!I119) *'Front page'!$B$11</f>
        <v>97.300000000000011</v>
      </c>
      <c r="R119" s="28">
        <f>ROUND(I119*'Front page'!$B$9,2)</f>
        <v>0</v>
      </c>
      <c r="S119" s="27">
        <f>J119*'Front page'!$B$14</f>
        <v>0.60000000000000009</v>
      </c>
      <c r="T119" s="81">
        <f>'Front page'!$B$16*Calculations!K119</f>
        <v>3.5246313725490199</v>
      </c>
      <c r="U119" s="81">
        <f>IF(settings!$B$13=0,(Calculations!M119*'Economic Adjustment'!O118)-Calculations!M119,0)</f>
        <v>0</v>
      </c>
      <c r="V119" s="154">
        <f>VLOOKUP(B119,'Remote School Building Weight'!$M$2:$P$174,3,FALSE)</f>
        <v>0</v>
      </c>
      <c r="W119" s="23">
        <f>'Small Dist Weight'!V118-Calculations!D119</f>
        <v>0</v>
      </c>
      <c r="X119" s="23">
        <f>IF(settings!$P$9=0,'Large District Weight'!H118*'Large District Weight'!G118,0)</f>
        <v>0</v>
      </c>
      <c r="Y119" s="23">
        <f t="shared" si="13"/>
        <v>1989.8718862745097</v>
      </c>
      <c r="Z119" s="23">
        <f>IF(settings!$F$13=0,'Teacher Exp'!L119,0)</f>
        <v>0</v>
      </c>
      <c r="AA119" s="23">
        <f t="shared" si="14"/>
        <v>1989.8718862745097</v>
      </c>
      <c r="AB119" s="25"/>
      <c r="AC119" s="24">
        <f>'Student Enrollment Data'!BU120</f>
        <v>101</v>
      </c>
      <c r="AD119" s="24">
        <f t="shared" si="15"/>
        <v>176.231568627451</v>
      </c>
      <c r="AE119" s="24">
        <f>AD119*'Front page'!$B$16</f>
        <v>3.5246313725490199</v>
      </c>
      <c r="AG119" s="6">
        <f>M119*'Front page'!$E$3</f>
        <v>8652470.6931572761</v>
      </c>
      <c r="AH119" s="6">
        <f>N119*'Front page'!$E$3</f>
        <v>130843.9491111262</v>
      </c>
      <c r="AI119" s="6">
        <f>O119*'Front page'!$E$3</f>
        <v>364210.48369507364</v>
      </c>
      <c r="AJ119" s="6">
        <f>P119*'Front page'!$E$3</f>
        <v>124215.83161393969</v>
      </c>
      <c r="AK119" s="6">
        <f>Q119*'Front page'!$E$3</f>
        <v>477715.43146388669</v>
      </c>
      <c r="AL119" s="6">
        <f>S119*'Front page'!$E$3</f>
        <v>2945.8299987495584</v>
      </c>
      <c r="AM119" s="5">
        <f>Z119*'Front page'!$E$3</f>
        <v>0</v>
      </c>
      <c r="AN119" s="6">
        <f>T119*'Front page'!$E$3</f>
        <v>17304.941386314553</v>
      </c>
      <c r="AO119" s="6">
        <f>U119*'Front page'!$E$3</f>
        <v>0</v>
      </c>
      <c r="AP119" s="6">
        <f>W119*'Front page'!$E$3</f>
        <v>0</v>
      </c>
      <c r="AQ119" s="6">
        <f>V119*'Front page'!$E$3</f>
        <v>0</v>
      </c>
      <c r="AR119" s="6">
        <f>X119*'Front page'!$E$3</f>
        <v>0</v>
      </c>
      <c r="AS119" s="6">
        <f t="shared" si="16"/>
        <v>9769707.1604263652</v>
      </c>
      <c r="AT119" s="7">
        <f>IF(AS119&gt;'Funding Comparison'!D119*(1+'Front page'!$H$10),'Funding Comparison'!D119*(1+'Front page'!$H$10),AS119)</f>
        <v>8693887.6920000017</v>
      </c>
    </row>
    <row r="120" spans="1:46" s="27" customFormat="1">
      <c r="A120" s="27" t="str">
        <f t="shared" si="9"/>
        <v>453</v>
      </c>
      <c r="B120" s="27">
        <f t="shared" si="11"/>
        <v>453</v>
      </c>
      <c r="C120" s="15" t="s">
        <v>128</v>
      </c>
      <c r="D120">
        <f>IF(settings!$G$4=0,'Student Enrollment Data'!AX121,'Student Enrollment Data'!CK121)</f>
        <v>487.26568627450979</v>
      </c>
      <c r="E120">
        <f>IF(settings!$G$4=0,'Student Enrollment Data'!AY121,'Student Enrollment Data'!CL121)</f>
        <v>83.5</v>
      </c>
      <c r="F120">
        <f>IF(settings!$G$4=0,'Student Enrollment Data'!AZ121,'Student Enrollment Data'!CM121)</f>
        <v>403.76568627450979</v>
      </c>
      <c r="G120" s="28">
        <f>'Student Enrollment Data'!BK121</f>
        <v>13</v>
      </c>
      <c r="H120" s="27">
        <f>'Student Enrollment Data'!BF121</f>
        <v>106</v>
      </c>
      <c r="I120">
        <f>SUM('Student Enrollment Data'!R121:X121,'Student Enrollment Data'!AQ121:AW121)</f>
        <v>373.29970727241601</v>
      </c>
      <c r="J120" s="27">
        <f>'Student Enrollment Data'!BS121</f>
        <v>0</v>
      </c>
      <c r="K120">
        <f t="shared" si="12"/>
        <v>48.72656862745098</v>
      </c>
      <c r="L120" s="25"/>
      <c r="M120" s="27">
        <f t="shared" si="17"/>
        <v>487.26568627450979</v>
      </c>
      <c r="N120" s="27">
        <f>E120*'Front page'!$B$20</f>
        <v>8.35</v>
      </c>
      <c r="O120" s="27">
        <f>F120*'Front page'!$B$21</f>
        <v>40.376568627450979</v>
      </c>
      <c r="P120">
        <f>G120*'Front page'!$B$18</f>
        <v>1.3</v>
      </c>
      <c r="Q120" s="27">
        <f>IF(settings!$B$4=0,Calculations!H120,Calculations!I120) *'Front page'!$B$11</f>
        <v>10.600000000000001</v>
      </c>
      <c r="R120" s="28">
        <f>ROUND(I120*'Front page'!$B$9,2)</f>
        <v>0</v>
      </c>
      <c r="S120" s="27">
        <f>J120*'Front page'!$B$14</f>
        <v>0</v>
      </c>
      <c r="T120" s="81">
        <f>'Front page'!$B$16*Calculations!K120</f>
        <v>0.97453137254901967</v>
      </c>
      <c r="U120" s="81">
        <f>IF(settings!$B$13=0,(Calculations!M120*'Economic Adjustment'!O119)-Calculations!M120,0)</f>
        <v>0</v>
      </c>
      <c r="V120" s="154">
        <f>VLOOKUP(B120,'Remote School Building Weight'!$M$2:$P$174,3,FALSE)</f>
        <v>0</v>
      </c>
      <c r="W120" s="23">
        <f>'Small Dist Weight'!V119-Calculations!D120</f>
        <v>183.21772651033803</v>
      </c>
      <c r="X120" s="23">
        <f>IF(settings!$P$9=0,'Large District Weight'!H119*'Large District Weight'!G119,0)</f>
        <v>0</v>
      </c>
      <c r="Y120" s="23">
        <f t="shared" si="13"/>
        <v>732.08451278484779</v>
      </c>
      <c r="Z120" s="23">
        <f>IF(settings!$F$13=0,'Teacher Exp'!L120,0)</f>
        <v>0</v>
      </c>
      <c r="AA120" s="23">
        <f t="shared" si="14"/>
        <v>732.08451278484779</v>
      </c>
      <c r="AB120" s="25"/>
      <c r="AC120" s="24">
        <f>'Student Enrollment Data'!BU121</f>
        <v>0</v>
      </c>
      <c r="AD120" s="24">
        <f t="shared" si="15"/>
        <v>48.72656862745098</v>
      </c>
      <c r="AE120" s="24">
        <f>AD120*'Front page'!$B$16</f>
        <v>0.97453137254901967</v>
      </c>
      <c r="AG120" s="6">
        <f>M120*'Front page'!$E$3</f>
        <v>2392336.4599812361</v>
      </c>
      <c r="AH120" s="6">
        <f>N120*'Front page'!$E$3</f>
        <v>40996.134149264675</v>
      </c>
      <c r="AI120" s="6">
        <f>O120*'Front page'!$E$3</f>
        <v>198237.51184885894</v>
      </c>
      <c r="AJ120" s="6">
        <f>P120*'Front page'!$E$3</f>
        <v>6382.6316639573752</v>
      </c>
      <c r="AK120" s="6">
        <f>Q120*'Front page'!$E$3</f>
        <v>52042.996644575527</v>
      </c>
      <c r="AL120" s="6">
        <f>S120*'Front page'!$E$3</f>
        <v>0</v>
      </c>
      <c r="AM120" s="5">
        <f>Z120*'Front page'!$E$3</f>
        <v>0</v>
      </c>
      <c r="AN120" s="6">
        <f>T120*'Front page'!$E$3</f>
        <v>4784.6729199624724</v>
      </c>
      <c r="AO120" s="6">
        <f>U120*'Front page'!$E$3</f>
        <v>0</v>
      </c>
      <c r="AP120" s="6">
        <f>W120*'Front page'!$E$3</f>
        <v>899547.12509474321</v>
      </c>
      <c r="AQ120" s="6">
        <f>V120*'Front page'!$E$3</f>
        <v>0</v>
      </c>
      <c r="AR120" s="6">
        <f>X120*'Front page'!$E$3</f>
        <v>0</v>
      </c>
      <c r="AS120" s="6">
        <f t="shared" si="16"/>
        <v>3594327.5323025985</v>
      </c>
      <c r="AT120" s="7">
        <f>IF(AS120&gt;'Funding Comparison'!D120*(1+'Front page'!$H$10),'Funding Comparison'!D120*(1+'Front page'!$H$10),AS120)</f>
        <v>3594327.5323025985</v>
      </c>
    </row>
    <row r="121" spans="1:46" s="27" customFormat="1">
      <c r="A121" s="27" t="str">
        <f t="shared" si="9"/>
        <v>454</v>
      </c>
      <c r="B121" s="27">
        <f t="shared" si="11"/>
        <v>454</v>
      </c>
      <c r="C121" s="15" t="s">
        <v>129</v>
      </c>
      <c r="D121">
        <f>IF(settings!$G$4=0,'Student Enrollment Data'!AX122,'Student Enrollment Data'!CK122)</f>
        <v>234.5</v>
      </c>
      <c r="E121">
        <f>IF(settings!$G$4=0,'Student Enrollment Data'!AY122,'Student Enrollment Data'!CL122)</f>
        <v>91.5</v>
      </c>
      <c r="F121">
        <f>IF(settings!$G$4=0,'Student Enrollment Data'!AZ122,'Student Enrollment Data'!CM122)</f>
        <v>0</v>
      </c>
      <c r="G121" s="28">
        <f>'Student Enrollment Data'!BK122</f>
        <v>32</v>
      </c>
      <c r="H121" s="27">
        <f>'Student Enrollment Data'!BF122</f>
        <v>66</v>
      </c>
      <c r="I121">
        <f>SUM('Student Enrollment Data'!R122:X122,'Student Enrollment Data'!AQ122:AW122)</f>
        <v>0</v>
      </c>
      <c r="J121" s="27">
        <f>'Student Enrollment Data'!BS122</f>
        <v>7</v>
      </c>
      <c r="K121">
        <f t="shared" si="12"/>
        <v>23.450000000000003</v>
      </c>
      <c r="L121" s="25"/>
      <c r="M121" s="27">
        <f t="shared" si="17"/>
        <v>234.5</v>
      </c>
      <c r="N121" s="27">
        <f>E121*'Front page'!$B$20</f>
        <v>9.15</v>
      </c>
      <c r="O121" s="27">
        <f>F121*'Front page'!$B$21</f>
        <v>0</v>
      </c>
      <c r="P121">
        <f>G121*'Front page'!$B$18</f>
        <v>3.2</v>
      </c>
      <c r="Q121" s="27">
        <f>IF(settings!$B$4=0,Calculations!H121,Calculations!I121) *'Front page'!$B$11</f>
        <v>6.6000000000000005</v>
      </c>
      <c r="R121" s="28">
        <f>ROUND(I121*'Front page'!$B$9,2)</f>
        <v>0</v>
      </c>
      <c r="S121" s="27">
        <f>J121*'Front page'!$B$14</f>
        <v>0.70000000000000007</v>
      </c>
      <c r="T121" s="81">
        <f>'Front page'!$B$16*Calculations!K121</f>
        <v>0.46900000000000008</v>
      </c>
      <c r="U121" s="81">
        <f>IF(settings!$B$13=0,(Calculations!M121*'Economic Adjustment'!O120)-Calculations!M121,0)</f>
        <v>0</v>
      </c>
      <c r="V121" s="154">
        <f>VLOOKUP(B121,'Remote School Building Weight'!$M$2:$P$174,3,FALSE)</f>
        <v>0</v>
      </c>
      <c r="W121" s="23">
        <f>'Small Dist Weight'!V120-Calculations!D121</f>
        <v>92.530111677115997</v>
      </c>
      <c r="X121" s="23">
        <f>IF(settings!$P$9=0,'Large District Weight'!H120*'Large District Weight'!G120,0)</f>
        <v>0</v>
      </c>
      <c r="Y121" s="23">
        <f t="shared" si="13"/>
        <v>347.14911167711597</v>
      </c>
      <c r="Z121" s="23">
        <f>IF(settings!$F$13=0,'Teacher Exp'!L121,0)</f>
        <v>0</v>
      </c>
      <c r="AA121" s="23">
        <f t="shared" si="14"/>
        <v>347.14911167711597</v>
      </c>
      <c r="AB121" s="25"/>
      <c r="AC121" s="24">
        <f>'Student Enrollment Data'!BU122</f>
        <v>0</v>
      </c>
      <c r="AD121" s="24">
        <f t="shared" si="15"/>
        <v>23.450000000000003</v>
      </c>
      <c r="AE121" s="24">
        <f>AD121*'Front page'!$B$16</f>
        <v>0.46900000000000008</v>
      </c>
      <c r="AG121" s="6">
        <f>M121*'Front page'!$E$3</f>
        <v>1151328.5578446188</v>
      </c>
      <c r="AH121" s="6">
        <f>N121*'Front page'!$E$3</f>
        <v>44923.907480930757</v>
      </c>
      <c r="AI121" s="6">
        <f>O121*'Front page'!$E$3</f>
        <v>0</v>
      </c>
      <c r="AJ121" s="6">
        <f>P121*'Front page'!$E$3</f>
        <v>15711.09332666431</v>
      </c>
      <c r="AK121" s="6">
        <f>Q121*'Front page'!$E$3</f>
        <v>32404.129986245138</v>
      </c>
      <c r="AL121" s="6">
        <f>S121*'Front page'!$E$3</f>
        <v>3436.8016652078177</v>
      </c>
      <c r="AM121" s="5">
        <f>Z121*'Front page'!$E$3</f>
        <v>0</v>
      </c>
      <c r="AN121" s="6">
        <f>T121*'Front page'!$E$3</f>
        <v>2302.6571156892383</v>
      </c>
      <c r="AO121" s="6">
        <f>U121*'Front page'!$E$3</f>
        <v>0</v>
      </c>
      <c r="AP121" s="6">
        <f>W121*'Front page'!$E$3</f>
        <v>454296.63127682509</v>
      </c>
      <c r="AQ121" s="6">
        <f>V121*'Front page'!$E$3</f>
        <v>0</v>
      </c>
      <c r="AR121" s="6">
        <f>X121*'Front page'!$E$3</f>
        <v>0</v>
      </c>
      <c r="AS121" s="6">
        <f t="shared" si="16"/>
        <v>1704403.7786961813</v>
      </c>
      <c r="AT121" s="7">
        <f>IF(AS121&gt;'Funding Comparison'!D121*(1+'Front page'!$H$10),'Funding Comparison'!D121*(1+'Front page'!$H$10),AS121)</f>
        <v>1704403.7786961813</v>
      </c>
    </row>
    <row r="122" spans="1:46" s="27" customFormat="1">
      <c r="A122" s="27" t="str">
        <f t="shared" si="9"/>
        <v>455</v>
      </c>
      <c r="B122" s="27">
        <f t="shared" si="11"/>
        <v>455</v>
      </c>
      <c r="C122" s="15" t="s">
        <v>130</v>
      </c>
      <c r="D122">
        <f>IF(settings!$G$4=0,'Student Enrollment Data'!AX123,'Student Enrollment Data'!CK123)</f>
        <v>1033.5</v>
      </c>
      <c r="E122">
        <f>IF(settings!$G$4=0,'Student Enrollment Data'!AY123,'Student Enrollment Data'!CL123)</f>
        <v>332.5</v>
      </c>
      <c r="F122">
        <f>IF(settings!$G$4=0,'Student Enrollment Data'!AZ123,'Student Enrollment Data'!CM123)</f>
        <v>216</v>
      </c>
      <c r="G122" s="28">
        <f>'Student Enrollment Data'!BK123</f>
        <v>29</v>
      </c>
      <c r="H122" s="27">
        <f>'Student Enrollment Data'!BF123</f>
        <v>152</v>
      </c>
      <c r="I122">
        <f>SUM('Student Enrollment Data'!R123:X123,'Student Enrollment Data'!AQ123:AW123)</f>
        <v>0</v>
      </c>
      <c r="J122" s="27">
        <f>'Student Enrollment Data'!BS123</f>
        <v>15</v>
      </c>
      <c r="K122">
        <f t="shared" si="12"/>
        <v>103.35000000000001</v>
      </c>
      <c r="L122" s="25"/>
      <c r="M122" s="27">
        <f t="shared" si="17"/>
        <v>1033.5</v>
      </c>
      <c r="N122" s="27">
        <f>E122*'Front page'!$B$20</f>
        <v>33.25</v>
      </c>
      <c r="O122" s="27">
        <f>F122*'Front page'!$B$21</f>
        <v>21.6</v>
      </c>
      <c r="P122">
        <f>G122*'Front page'!$B$18</f>
        <v>2.9000000000000004</v>
      </c>
      <c r="Q122" s="27">
        <f>IF(settings!$B$4=0,Calculations!H122,Calculations!I122) *'Front page'!$B$11</f>
        <v>15.200000000000001</v>
      </c>
      <c r="R122" s="28">
        <f>ROUND(I122*'Front page'!$B$9,2)</f>
        <v>0</v>
      </c>
      <c r="S122" s="27">
        <f>J122*'Front page'!$B$14</f>
        <v>1.5</v>
      </c>
      <c r="T122" s="81">
        <f>'Front page'!$B$16*Calculations!K122</f>
        <v>2.0670000000000002</v>
      </c>
      <c r="U122" s="81">
        <f>IF(settings!$B$13=0,(Calculations!M122*'Economic Adjustment'!O121)-Calculations!M122,0)</f>
        <v>0</v>
      </c>
      <c r="V122" s="154">
        <f>VLOOKUP(B122,'Remote School Building Weight'!$M$2:$P$174,3,FALSE)</f>
        <v>0</v>
      </c>
      <c r="W122" s="23">
        <f>'Small Dist Weight'!V121-Calculations!D122</f>
        <v>129.94474137931047</v>
      </c>
      <c r="X122" s="23">
        <f>IF(settings!$P$9=0,'Large District Weight'!H121*'Large District Weight'!G121,0)</f>
        <v>0</v>
      </c>
      <c r="Y122" s="23">
        <f t="shared" si="13"/>
        <v>1239.9617413793105</v>
      </c>
      <c r="Z122" s="23">
        <f>IF(settings!$F$13=0,'Teacher Exp'!L122,0)</f>
        <v>0</v>
      </c>
      <c r="AA122" s="23">
        <f t="shared" si="14"/>
        <v>1239.9617413793105</v>
      </c>
      <c r="AB122" s="25"/>
      <c r="AC122" s="24">
        <f>'Student Enrollment Data'!BU123</f>
        <v>61</v>
      </c>
      <c r="AD122" s="24">
        <f t="shared" si="15"/>
        <v>103.35000000000001</v>
      </c>
      <c r="AE122" s="24">
        <f>AD122*'Front page'!$B$16</f>
        <v>2.0670000000000002</v>
      </c>
      <c r="AG122" s="6">
        <f>M122*'Front page'!$E$3</f>
        <v>5074192.1728461133</v>
      </c>
      <c r="AH122" s="6">
        <f>N122*'Front page'!$E$3</f>
        <v>163248.07909737134</v>
      </c>
      <c r="AI122" s="6">
        <f>O122*'Front page'!$E$3</f>
        <v>106049.87995498409</v>
      </c>
      <c r="AJ122" s="6">
        <f>P122*'Front page'!$E$3</f>
        <v>14238.178327289532</v>
      </c>
      <c r="AK122" s="6">
        <f>Q122*'Front page'!$E$3</f>
        <v>74627.693301655469</v>
      </c>
      <c r="AL122" s="6">
        <f>S122*'Front page'!$E$3</f>
        <v>7364.5749968738946</v>
      </c>
      <c r="AM122" s="5">
        <f>Z122*'Front page'!$E$3</f>
        <v>0</v>
      </c>
      <c r="AN122" s="6">
        <f>T122*'Front page'!$E$3</f>
        <v>10148.384345692228</v>
      </c>
      <c r="AO122" s="6">
        <f>U122*'Front page'!$E$3</f>
        <v>0</v>
      </c>
      <c r="AP122" s="6">
        <f>W122*'Front page'!$E$3</f>
        <v>637991.8622248763</v>
      </c>
      <c r="AQ122" s="6">
        <f>V122*'Front page'!$E$3</f>
        <v>0</v>
      </c>
      <c r="AR122" s="6">
        <f>X122*'Front page'!$E$3</f>
        <v>0</v>
      </c>
      <c r="AS122" s="6">
        <f t="shared" si="16"/>
        <v>6087860.8250948563</v>
      </c>
      <c r="AT122" s="7">
        <f>IF(AS122&gt;'Funding Comparison'!D122*(1+'Front page'!$H$10),'Funding Comparison'!D122*(1+'Front page'!$H$10),AS122)</f>
        <v>4940562.6270000003</v>
      </c>
    </row>
    <row r="123" spans="1:46" s="27" customFormat="1">
      <c r="A123" s="27" t="str">
        <f t="shared" si="9"/>
        <v>456</v>
      </c>
      <c r="B123" s="27">
        <f t="shared" si="11"/>
        <v>456</v>
      </c>
      <c r="C123" s="15" t="s">
        <v>131</v>
      </c>
      <c r="D123">
        <f>IF(settings!$G$4=0,'Student Enrollment Data'!AX124,'Student Enrollment Data'!CK124)</f>
        <v>261</v>
      </c>
      <c r="E123">
        <f>IF(settings!$G$4=0,'Student Enrollment Data'!AY124,'Student Enrollment Data'!CL124)</f>
        <v>99</v>
      </c>
      <c r="F123">
        <f>IF(settings!$G$4=0,'Student Enrollment Data'!AZ124,'Student Enrollment Data'!CM124)</f>
        <v>0</v>
      </c>
      <c r="G123" s="28">
        <f>'Student Enrollment Data'!BK124</f>
        <v>10</v>
      </c>
      <c r="H123" s="27">
        <f>'Student Enrollment Data'!BF124</f>
        <v>48</v>
      </c>
      <c r="I123">
        <f>SUM('Student Enrollment Data'!R124:X124,'Student Enrollment Data'!AQ124:AW124)</f>
        <v>0</v>
      </c>
      <c r="J123" s="27">
        <f>'Student Enrollment Data'!BS124</f>
        <v>0</v>
      </c>
      <c r="K123">
        <f t="shared" si="12"/>
        <v>26.1</v>
      </c>
      <c r="L123" s="25"/>
      <c r="M123" s="27">
        <f t="shared" si="17"/>
        <v>261</v>
      </c>
      <c r="N123" s="27">
        <f>E123*'Front page'!$B$20</f>
        <v>9.9</v>
      </c>
      <c r="O123" s="27">
        <f>F123*'Front page'!$B$21</f>
        <v>0</v>
      </c>
      <c r="P123">
        <f>G123*'Front page'!$B$18</f>
        <v>1</v>
      </c>
      <c r="Q123" s="27">
        <f>IF(settings!$B$4=0,Calculations!H123,Calculations!I123) *'Front page'!$B$11</f>
        <v>4.8000000000000007</v>
      </c>
      <c r="R123" s="28">
        <f>ROUND(I123*'Front page'!$B$9,2)</f>
        <v>0</v>
      </c>
      <c r="S123" s="27">
        <f>J123*'Front page'!$B$14</f>
        <v>0</v>
      </c>
      <c r="T123" s="81">
        <f>'Front page'!$B$16*Calculations!K123</f>
        <v>0.52200000000000002</v>
      </c>
      <c r="U123" s="81">
        <f>IF(settings!$B$13=0,(Calculations!M123*'Economic Adjustment'!O122)-Calculations!M123,0)</f>
        <v>0</v>
      </c>
      <c r="V123" s="154">
        <f>VLOOKUP(B123,'Remote School Building Weight'!$M$2:$P$174,3,FALSE)</f>
        <v>0</v>
      </c>
      <c r="W123" s="23">
        <f>'Small Dist Weight'!V122-Calculations!D123</f>
        <v>100.54474137931038</v>
      </c>
      <c r="X123" s="23">
        <f>IF(settings!$P$9=0,'Large District Weight'!H122*'Large District Weight'!G122,0)</f>
        <v>0</v>
      </c>
      <c r="Y123" s="23">
        <f t="shared" si="13"/>
        <v>377.76674137931036</v>
      </c>
      <c r="Z123" s="23">
        <f>IF(settings!$F$13=0,'Teacher Exp'!L123,0)</f>
        <v>0</v>
      </c>
      <c r="AA123" s="23">
        <f t="shared" si="14"/>
        <v>377.76674137931036</v>
      </c>
      <c r="AB123" s="25"/>
      <c r="AC123" s="24">
        <f>'Student Enrollment Data'!BU124</f>
        <v>0</v>
      </c>
      <c r="AD123" s="24">
        <f t="shared" si="15"/>
        <v>26.1</v>
      </c>
      <c r="AE123" s="24">
        <f>AD123*'Front page'!$B$16</f>
        <v>0.52200000000000002</v>
      </c>
      <c r="AG123" s="6">
        <f>M123*'Front page'!$E$3</f>
        <v>1281436.0494560576</v>
      </c>
      <c r="AH123" s="6">
        <f>N123*'Front page'!$E$3</f>
        <v>48606.194979367705</v>
      </c>
      <c r="AI123" s="6">
        <f>O123*'Front page'!$E$3</f>
        <v>0</v>
      </c>
      <c r="AJ123" s="6">
        <f>P123*'Front page'!$E$3</f>
        <v>4909.7166645825964</v>
      </c>
      <c r="AK123" s="6">
        <f>Q123*'Front page'!$E$3</f>
        <v>23566.639989996467</v>
      </c>
      <c r="AL123" s="6">
        <f>S123*'Front page'!$E$3</f>
        <v>0</v>
      </c>
      <c r="AM123" s="5">
        <f>Z123*'Front page'!$E$3</f>
        <v>0</v>
      </c>
      <c r="AN123" s="6">
        <f>T123*'Front page'!$E$3</f>
        <v>2562.8720989121152</v>
      </c>
      <c r="AO123" s="6">
        <f>U123*'Front page'!$E$3</f>
        <v>0</v>
      </c>
      <c r="AP123" s="6">
        <f>W123*'Front page'!$E$3</f>
        <v>493646.1922861475</v>
      </c>
      <c r="AQ123" s="6">
        <f>V123*'Front page'!$E$3</f>
        <v>0</v>
      </c>
      <c r="AR123" s="6">
        <f>X123*'Front page'!$E$3</f>
        <v>0</v>
      </c>
      <c r="AS123" s="6">
        <f t="shared" si="16"/>
        <v>1854727.665475064</v>
      </c>
      <c r="AT123" s="7">
        <f>IF(AS123&gt;'Funding Comparison'!D123*(1+'Front page'!$H$10),'Funding Comparison'!D123*(1+'Front page'!$H$10),AS123)</f>
        <v>1854727.665475064</v>
      </c>
    </row>
    <row r="124" spans="1:46" s="27" customFormat="1">
      <c r="A124" s="27" t="str">
        <f t="shared" si="9"/>
        <v>457</v>
      </c>
      <c r="B124" s="27">
        <f t="shared" si="11"/>
        <v>457</v>
      </c>
      <c r="C124" s="15" t="s">
        <v>132</v>
      </c>
      <c r="D124">
        <f>IF(settings!$G$4=0,'Student Enrollment Data'!AX125,'Student Enrollment Data'!CK125)</f>
        <v>963.5</v>
      </c>
      <c r="E124">
        <f>IF(settings!$G$4=0,'Student Enrollment Data'!AY125,'Student Enrollment Data'!CL125)</f>
        <v>106.5</v>
      </c>
      <c r="F124">
        <f>IF(settings!$G$4=0,'Student Enrollment Data'!AZ125,'Student Enrollment Data'!CM125)</f>
        <v>480</v>
      </c>
      <c r="G124" s="28">
        <f>'Student Enrollment Data'!BK125</f>
        <v>116</v>
      </c>
      <c r="H124" s="27">
        <f>'Student Enrollment Data'!BF125</f>
        <v>413</v>
      </c>
      <c r="I124">
        <f>SUM('Student Enrollment Data'!R125:X125,'Student Enrollment Data'!AQ125:AW125)</f>
        <v>0</v>
      </c>
      <c r="J124" s="27">
        <f>'Student Enrollment Data'!BS125</f>
        <v>20</v>
      </c>
      <c r="K124">
        <f t="shared" si="12"/>
        <v>96.350000000000009</v>
      </c>
      <c r="L124" s="25"/>
      <c r="M124" s="27">
        <f t="shared" si="17"/>
        <v>963.5</v>
      </c>
      <c r="N124" s="27">
        <f>E124*'Front page'!$B$20</f>
        <v>10.65</v>
      </c>
      <c r="O124" s="27">
        <f>F124*'Front page'!$B$21</f>
        <v>48</v>
      </c>
      <c r="P124">
        <f>G124*'Front page'!$B$18</f>
        <v>11.600000000000001</v>
      </c>
      <c r="Q124" s="27">
        <f>IF(settings!$B$4=0,Calculations!H124,Calculations!I124) *'Front page'!$B$11</f>
        <v>41.300000000000004</v>
      </c>
      <c r="R124" s="28">
        <f>ROUND(I124*'Front page'!$B$9,2)</f>
        <v>0</v>
      </c>
      <c r="S124" s="27">
        <f>J124*'Front page'!$B$14</f>
        <v>2</v>
      </c>
      <c r="T124" s="81">
        <f>'Front page'!$B$16*Calculations!K124</f>
        <v>1.9270000000000003</v>
      </c>
      <c r="U124" s="81">
        <f>IF(settings!$B$13=0,(Calculations!M124*'Economic Adjustment'!O123)-Calculations!M124,0)</f>
        <v>0</v>
      </c>
      <c r="V124" s="154">
        <f>VLOOKUP(B124,'Remote School Building Weight'!$M$2:$P$174,3,FALSE)</f>
        <v>0</v>
      </c>
      <c r="W124" s="23">
        <f>'Small Dist Weight'!V123-Calculations!D124</f>
        <v>99.664680642633357</v>
      </c>
      <c r="X124" s="23">
        <f>IF(settings!$P$9=0,'Large District Weight'!H123*'Large District Weight'!G123,0)</f>
        <v>0</v>
      </c>
      <c r="Y124" s="23">
        <f t="shared" si="13"/>
        <v>1178.6416806426332</v>
      </c>
      <c r="Z124" s="23">
        <f>IF(settings!$F$13=0,'Teacher Exp'!L124,0)</f>
        <v>0</v>
      </c>
      <c r="AA124" s="23">
        <f t="shared" si="14"/>
        <v>1178.6416806426332</v>
      </c>
      <c r="AB124" s="25"/>
      <c r="AC124" s="24">
        <f>'Student Enrollment Data'!BU125</f>
        <v>55</v>
      </c>
      <c r="AD124" s="24">
        <f t="shared" si="15"/>
        <v>96.350000000000009</v>
      </c>
      <c r="AE124" s="24">
        <f>AD124*'Front page'!$B$16</f>
        <v>1.9270000000000003</v>
      </c>
      <c r="AG124" s="6">
        <f>M124*'Front page'!$E$3</f>
        <v>4730512.0063253315</v>
      </c>
      <c r="AH124" s="6">
        <f>N124*'Front page'!$E$3</f>
        <v>52288.482477804653</v>
      </c>
      <c r="AI124" s="6">
        <f>O124*'Front page'!$E$3</f>
        <v>235666.39989996463</v>
      </c>
      <c r="AJ124" s="6">
        <f>P124*'Front page'!$E$3</f>
        <v>56952.713309158127</v>
      </c>
      <c r="AK124" s="6">
        <f>Q124*'Front page'!$E$3</f>
        <v>202771.29824726126</v>
      </c>
      <c r="AL124" s="6">
        <f>S124*'Front page'!$E$3</f>
        <v>9819.4333291651928</v>
      </c>
      <c r="AM124" s="5">
        <f>Z124*'Front page'!$E$3</f>
        <v>0</v>
      </c>
      <c r="AN124" s="6">
        <f>T124*'Front page'!$E$3</f>
        <v>9461.0240126506651</v>
      </c>
      <c r="AO124" s="6">
        <f>U124*'Front page'!$E$3</f>
        <v>0</v>
      </c>
      <c r="AP124" s="6">
        <f>W124*'Front page'!$E$3</f>
        <v>489325.34342143952</v>
      </c>
      <c r="AQ124" s="6">
        <f>V124*'Front page'!$E$3</f>
        <v>0</v>
      </c>
      <c r="AR124" s="6">
        <f>X124*'Front page'!$E$3</f>
        <v>0</v>
      </c>
      <c r="AS124" s="6">
        <f t="shared" si="16"/>
        <v>5786796.7010227749</v>
      </c>
      <c r="AT124" s="7">
        <f>IF(AS124&gt;'Funding Comparison'!D124*(1+'Front page'!$H$10),'Funding Comparison'!D124*(1+'Front page'!$H$10),AS124)</f>
        <v>5055418.3575000009</v>
      </c>
    </row>
    <row r="125" spans="1:46" s="27" customFormat="1">
      <c r="A125" s="27" t="str">
        <f t="shared" si="9"/>
        <v>458</v>
      </c>
      <c r="B125" s="27">
        <f t="shared" si="11"/>
        <v>458</v>
      </c>
      <c r="C125" s="15" t="s">
        <v>133</v>
      </c>
      <c r="D125">
        <f>IF(settings!$G$4=0,'Student Enrollment Data'!AX126,'Student Enrollment Data'!CK126)</f>
        <v>401</v>
      </c>
      <c r="E125">
        <f>IF(settings!$G$4=0,'Student Enrollment Data'!AY126,'Student Enrollment Data'!CL126)</f>
        <v>100</v>
      </c>
      <c r="F125">
        <f>IF(settings!$G$4=0,'Student Enrollment Data'!AZ126,'Student Enrollment Data'!CM126)</f>
        <v>149</v>
      </c>
      <c r="G125" s="28">
        <f>'Student Enrollment Data'!BK126</f>
        <v>20</v>
      </c>
      <c r="H125" s="27">
        <f>'Student Enrollment Data'!BF126</f>
        <v>111</v>
      </c>
      <c r="I125">
        <f>SUM('Student Enrollment Data'!R126:X126,'Student Enrollment Data'!AQ126:AW126)</f>
        <v>0</v>
      </c>
      <c r="J125" s="27">
        <f>'Student Enrollment Data'!BS126</f>
        <v>0</v>
      </c>
      <c r="K125">
        <f t="shared" si="12"/>
        <v>40.1</v>
      </c>
      <c r="L125" s="25"/>
      <c r="M125" s="27">
        <f t="shared" si="17"/>
        <v>401</v>
      </c>
      <c r="N125" s="27">
        <f>E125*'Front page'!$B$20</f>
        <v>10</v>
      </c>
      <c r="O125" s="27">
        <f>F125*'Front page'!$B$21</f>
        <v>14.9</v>
      </c>
      <c r="P125">
        <f>G125*'Front page'!$B$18</f>
        <v>2</v>
      </c>
      <c r="Q125" s="27">
        <f>IF(settings!$B$4=0,Calculations!H125,Calculations!I125) *'Front page'!$B$11</f>
        <v>11.100000000000001</v>
      </c>
      <c r="R125" s="28">
        <f>ROUND(I125*'Front page'!$B$9,2)</f>
        <v>0</v>
      </c>
      <c r="S125" s="27">
        <f>J125*'Front page'!$B$14</f>
        <v>0</v>
      </c>
      <c r="T125" s="81">
        <f>'Front page'!$B$16*Calculations!K125</f>
        <v>0.80200000000000005</v>
      </c>
      <c r="U125" s="81">
        <f>IF(settings!$B$13=0,(Calculations!M125*'Economic Adjustment'!O124)-Calculations!M125,0)</f>
        <v>0</v>
      </c>
      <c r="V125" s="154">
        <f>VLOOKUP(B125,'Remote School Building Weight'!$M$2:$P$174,3,FALSE)</f>
        <v>0</v>
      </c>
      <c r="W125" s="23">
        <f>'Small Dist Weight'!V124-Calculations!D125</f>
        <v>182.52505485893425</v>
      </c>
      <c r="X125" s="23">
        <f>IF(settings!$P$9=0,'Large District Weight'!H124*'Large District Weight'!G124,0)</f>
        <v>0</v>
      </c>
      <c r="Y125" s="23">
        <f t="shared" si="13"/>
        <v>622.32705485893428</v>
      </c>
      <c r="Z125" s="23">
        <f>IF(settings!$F$13=0,'Teacher Exp'!L125,0)</f>
        <v>0</v>
      </c>
      <c r="AA125" s="23">
        <f t="shared" si="14"/>
        <v>622.32705485893428</v>
      </c>
      <c r="AB125" s="25"/>
      <c r="AC125" s="24">
        <f>'Student Enrollment Data'!BU126</f>
        <v>0</v>
      </c>
      <c r="AD125" s="24">
        <f t="shared" si="15"/>
        <v>40.1</v>
      </c>
      <c r="AE125" s="24">
        <f>AD125*'Front page'!$B$16</f>
        <v>0.80200000000000005</v>
      </c>
      <c r="AG125" s="6">
        <f>M125*'Front page'!$E$3</f>
        <v>1968796.3824976212</v>
      </c>
      <c r="AH125" s="6">
        <f>N125*'Front page'!$E$3</f>
        <v>49097.166645825964</v>
      </c>
      <c r="AI125" s="6">
        <f>O125*'Front page'!$E$3</f>
        <v>73154.778302280683</v>
      </c>
      <c r="AJ125" s="6">
        <f>P125*'Front page'!$E$3</f>
        <v>9819.4333291651928</v>
      </c>
      <c r="AK125" s="6">
        <f>Q125*'Front page'!$E$3</f>
        <v>54497.854976866831</v>
      </c>
      <c r="AL125" s="6">
        <f>S125*'Front page'!$E$3</f>
        <v>0</v>
      </c>
      <c r="AM125" s="5">
        <f>Z125*'Front page'!$E$3</f>
        <v>0</v>
      </c>
      <c r="AN125" s="6">
        <f>T125*'Front page'!$E$3</f>
        <v>3937.5927649952428</v>
      </c>
      <c r="AO125" s="6">
        <f>U125*'Front page'!$E$3</f>
        <v>0</v>
      </c>
      <c r="AP125" s="6">
        <f>W125*'Front page'!$E$3</f>
        <v>896146.30354476208</v>
      </c>
      <c r="AQ125" s="6">
        <f>V125*'Front page'!$E$3</f>
        <v>0</v>
      </c>
      <c r="AR125" s="6">
        <f>X125*'Front page'!$E$3</f>
        <v>0</v>
      </c>
      <c r="AS125" s="6">
        <f t="shared" si="16"/>
        <v>3055449.5120615172</v>
      </c>
      <c r="AT125" s="7">
        <f>IF(AS125&gt;'Funding Comparison'!D125*(1+'Front page'!$H$10),'Funding Comparison'!D125*(1+'Front page'!$H$10),AS125)</f>
        <v>3055449.5120615172</v>
      </c>
    </row>
    <row r="126" spans="1:46" s="27" customFormat="1">
      <c r="A126" s="27" t="str">
        <f t="shared" si="9"/>
        <v>460</v>
      </c>
      <c r="B126" s="27">
        <f t="shared" si="11"/>
        <v>460</v>
      </c>
      <c r="C126" s="15" t="s">
        <v>134</v>
      </c>
      <c r="D126">
        <f>IF(settings!$G$4=0,'Student Enrollment Data'!AX127,'Student Enrollment Data'!CK127)</f>
        <v>528</v>
      </c>
      <c r="E126">
        <f>IF(settings!$G$4=0,'Student Enrollment Data'!AY127,'Student Enrollment Data'!CL127)</f>
        <v>204</v>
      </c>
      <c r="F126">
        <f>IF(settings!$G$4=0,'Student Enrollment Data'!AZ127,'Student Enrollment Data'!CM127)</f>
        <v>0</v>
      </c>
      <c r="G126" s="28">
        <f>'Student Enrollment Data'!BK127</f>
        <v>56</v>
      </c>
      <c r="H126" s="27">
        <f>'Student Enrollment Data'!BF127</f>
        <v>170</v>
      </c>
      <c r="I126">
        <f>SUM('Student Enrollment Data'!R127:X127,'Student Enrollment Data'!AQ127:AW127)</f>
        <v>0</v>
      </c>
      <c r="J126" s="27">
        <f>'Student Enrollment Data'!BS127</f>
        <v>0</v>
      </c>
      <c r="K126">
        <f t="shared" si="12"/>
        <v>52.800000000000004</v>
      </c>
      <c r="L126" s="25"/>
      <c r="M126" s="27">
        <f t="shared" si="17"/>
        <v>528</v>
      </c>
      <c r="N126" s="27">
        <f>E126*'Front page'!$B$20</f>
        <v>20.400000000000002</v>
      </c>
      <c r="O126" s="27">
        <f>F126*'Front page'!$B$21</f>
        <v>0</v>
      </c>
      <c r="P126">
        <f>G126*'Front page'!$B$18</f>
        <v>5.6000000000000005</v>
      </c>
      <c r="Q126" s="27">
        <f>IF(settings!$B$4=0,Calculations!H126,Calculations!I126) *'Front page'!$B$11</f>
        <v>17</v>
      </c>
      <c r="R126" s="28">
        <f>ROUND(I126*'Front page'!$B$9,2)</f>
        <v>0</v>
      </c>
      <c r="S126" s="27">
        <f>J126*'Front page'!$B$14</f>
        <v>0</v>
      </c>
      <c r="T126" s="81">
        <f>'Front page'!$B$16*Calculations!K126</f>
        <v>1.056</v>
      </c>
      <c r="U126" s="81">
        <f>IF(settings!$B$13=0,(Calculations!M126*'Economic Adjustment'!O125)-Calculations!M126,0)</f>
        <v>0</v>
      </c>
      <c r="V126" s="154">
        <f>VLOOKUP(B126,'Remote School Building Weight'!$M$2:$P$174,3,FALSE)</f>
        <v>0</v>
      </c>
      <c r="W126" s="23">
        <f>'Small Dist Weight'!V125-Calculations!D126</f>
        <v>105.32405172413792</v>
      </c>
      <c r="X126" s="23">
        <f>IF(settings!$P$9=0,'Large District Weight'!H125*'Large District Weight'!G125,0)</f>
        <v>0</v>
      </c>
      <c r="Y126" s="23">
        <f t="shared" si="13"/>
        <v>677.38005172413796</v>
      </c>
      <c r="Z126" s="23">
        <f>IF(settings!$F$13=0,'Teacher Exp'!L126,0)</f>
        <v>0</v>
      </c>
      <c r="AA126" s="23">
        <f t="shared" si="14"/>
        <v>677.38005172413796</v>
      </c>
      <c r="AB126" s="25"/>
      <c r="AC126" s="24">
        <f>'Student Enrollment Data'!BU127</f>
        <v>0</v>
      </c>
      <c r="AD126" s="24">
        <f t="shared" si="15"/>
        <v>52.800000000000004</v>
      </c>
      <c r="AE126" s="24">
        <f>AD126*'Front page'!$B$16</f>
        <v>1.056</v>
      </c>
      <c r="AG126" s="6">
        <f>M126*'Front page'!$E$3</f>
        <v>2592330.3988996111</v>
      </c>
      <c r="AH126" s="6">
        <f>N126*'Front page'!$E$3</f>
        <v>100158.21995748498</v>
      </c>
      <c r="AI126" s="6">
        <f>O126*'Front page'!$E$3</f>
        <v>0</v>
      </c>
      <c r="AJ126" s="6">
        <f>P126*'Front page'!$E$3</f>
        <v>27494.413321662541</v>
      </c>
      <c r="AK126" s="6">
        <f>Q126*'Front page'!$E$3</f>
        <v>83465.183297904136</v>
      </c>
      <c r="AL126" s="6">
        <f>S126*'Front page'!$E$3</f>
        <v>0</v>
      </c>
      <c r="AM126" s="5">
        <f>Z126*'Front page'!$E$3</f>
        <v>0</v>
      </c>
      <c r="AN126" s="6">
        <f>T126*'Front page'!$E$3</f>
        <v>5184.6607977992217</v>
      </c>
      <c r="AO126" s="6">
        <f>U126*'Front page'!$E$3</f>
        <v>0</v>
      </c>
      <c r="AP126" s="6">
        <f>W126*'Front page'!$E$3</f>
        <v>517111.25193135929</v>
      </c>
      <c r="AQ126" s="6">
        <f>V126*'Front page'!$E$3</f>
        <v>0</v>
      </c>
      <c r="AR126" s="6">
        <f>X126*'Front page'!$E$3</f>
        <v>0</v>
      </c>
      <c r="AS126" s="6">
        <f t="shared" si="16"/>
        <v>3325744.1282058209</v>
      </c>
      <c r="AT126" s="7">
        <f>IF(AS126&gt;'Funding Comparison'!D126*(1+'Front page'!$H$10),'Funding Comparison'!D126*(1+'Front page'!$H$10),AS126)</f>
        <v>3325744.1282058209</v>
      </c>
    </row>
    <row r="127" spans="1:46" s="27" customFormat="1">
      <c r="A127" s="27" t="str">
        <f t="shared" si="9"/>
        <v>461</v>
      </c>
      <c r="B127" s="27">
        <f t="shared" si="11"/>
        <v>461</v>
      </c>
      <c r="C127" s="15" t="s">
        <v>135</v>
      </c>
      <c r="D127">
        <f>IF(settings!$G$4=0,'Student Enrollment Data'!AX128,'Student Enrollment Data'!CK128)</f>
        <v>352</v>
      </c>
      <c r="E127">
        <f>IF(settings!$G$4=0,'Student Enrollment Data'!AY128,'Student Enrollment Data'!CL128)</f>
        <v>105</v>
      </c>
      <c r="F127">
        <f>IF(settings!$G$4=0,'Student Enrollment Data'!AZ128,'Student Enrollment Data'!CM128)</f>
        <v>91</v>
      </c>
      <c r="G127" s="28">
        <f>'Student Enrollment Data'!BK128</f>
        <v>33</v>
      </c>
      <c r="H127" s="27">
        <f>'Student Enrollment Data'!BF128</f>
        <v>133</v>
      </c>
      <c r="I127">
        <f>SUM('Student Enrollment Data'!R128:X128,'Student Enrollment Data'!AQ128:AW128)</f>
        <v>0</v>
      </c>
      <c r="J127" s="27">
        <f>'Student Enrollment Data'!BS128</f>
        <v>0</v>
      </c>
      <c r="K127">
        <f t="shared" si="12"/>
        <v>35.200000000000003</v>
      </c>
      <c r="L127" s="25"/>
      <c r="M127" s="27">
        <f t="shared" si="17"/>
        <v>352</v>
      </c>
      <c r="N127" s="27">
        <f>E127*'Front page'!$B$20</f>
        <v>10.5</v>
      </c>
      <c r="O127" s="27">
        <f>F127*'Front page'!$B$21</f>
        <v>9.1</v>
      </c>
      <c r="P127">
        <f>G127*'Front page'!$B$18</f>
        <v>3.3000000000000003</v>
      </c>
      <c r="Q127" s="27">
        <f>IF(settings!$B$4=0,Calculations!H127,Calculations!I127) *'Front page'!$B$11</f>
        <v>13.3</v>
      </c>
      <c r="R127" s="28">
        <f>ROUND(I127*'Front page'!$B$9,2)</f>
        <v>0</v>
      </c>
      <c r="S127" s="27">
        <f>J127*'Front page'!$B$14</f>
        <v>0</v>
      </c>
      <c r="T127" s="81">
        <f>'Front page'!$B$16*Calculations!K127</f>
        <v>0.70400000000000007</v>
      </c>
      <c r="U127" s="81">
        <f>IF(settings!$B$13=0,(Calculations!M127*'Economic Adjustment'!O126)-Calculations!M127,0)</f>
        <v>0</v>
      </c>
      <c r="V127" s="154">
        <f>VLOOKUP(B127,'Remote School Building Weight'!$M$2:$P$174,3,FALSE)</f>
        <v>0</v>
      </c>
      <c r="W127" s="23">
        <f>'Small Dist Weight'!V126-Calculations!D127</f>
        <v>154.69363636363641</v>
      </c>
      <c r="X127" s="23">
        <f>IF(settings!$P$9=0,'Large District Weight'!H126*'Large District Weight'!G126,0)</f>
        <v>0</v>
      </c>
      <c r="Y127" s="23">
        <f t="shared" si="13"/>
        <v>543.59763636363641</v>
      </c>
      <c r="Z127" s="23">
        <f>IF(settings!$F$13=0,'Teacher Exp'!L127,0)</f>
        <v>0</v>
      </c>
      <c r="AA127" s="23">
        <f t="shared" si="14"/>
        <v>543.59763636363641</v>
      </c>
      <c r="AB127" s="25"/>
      <c r="AC127" s="24">
        <f>'Student Enrollment Data'!BU128</f>
        <v>0</v>
      </c>
      <c r="AD127" s="24">
        <f t="shared" si="15"/>
        <v>35.200000000000003</v>
      </c>
      <c r="AE127" s="24">
        <f>AD127*'Front page'!$B$16</f>
        <v>0.70400000000000007</v>
      </c>
      <c r="AG127" s="6">
        <f>M127*'Front page'!$E$3</f>
        <v>1728220.2659330741</v>
      </c>
      <c r="AH127" s="6">
        <f>N127*'Front page'!$E$3</f>
        <v>51552.024978117261</v>
      </c>
      <c r="AI127" s="6">
        <f>O127*'Front page'!$E$3</f>
        <v>44678.421647701623</v>
      </c>
      <c r="AJ127" s="6">
        <f>P127*'Front page'!$E$3</f>
        <v>16202.064993122569</v>
      </c>
      <c r="AK127" s="6">
        <f>Q127*'Front page'!$E$3</f>
        <v>65299.231638948535</v>
      </c>
      <c r="AL127" s="6">
        <f>S127*'Front page'!$E$3</f>
        <v>0</v>
      </c>
      <c r="AM127" s="5">
        <f>Z127*'Front page'!$E$3</f>
        <v>0</v>
      </c>
      <c r="AN127" s="6">
        <f>T127*'Front page'!$E$3</f>
        <v>3456.4405318661484</v>
      </c>
      <c r="AO127" s="6">
        <f>U127*'Front page'!$E$3</f>
        <v>0</v>
      </c>
      <c r="AP127" s="6">
        <f>W127*'Front page'!$E$3</f>
        <v>759501.92435942602</v>
      </c>
      <c r="AQ127" s="6">
        <f>V127*'Front page'!$E$3</f>
        <v>0</v>
      </c>
      <c r="AR127" s="6">
        <f>X127*'Front page'!$E$3</f>
        <v>0</v>
      </c>
      <c r="AS127" s="6">
        <f t="shared" si="16"/>
        <v>2668910.3740822561</v>
      </c>
      <c r="AT127" s="7">
        <f>IF(AS127&gt;'Funding Comparison'!D127*(1+'Front page'!$H$10),'Funding Comparison'!D127*(1+'Front page'!$H$10),AS127)</f>
        <v>2668910.3740822561</v>
      </c>
    </row>
    <row r="128" spans="1:46" s="27" customFormat="1">
      <c r="A128" s="27" t="str">
        <f t="shared" si="9"/>
        <v>462</v>
      </c>
      <c r="B128" s="27">
        <f t="shared" si="11"/>
        <v>462</v>
      </c>
      <c r="C128" s="15" t="s">
        <v>136</v>
      </c>
      <c r="D128">
        <f>IF(settings!$G$4=0,'Student Enrollment Data'!AX129,'Student Enrollment Data'!CK129)</f>
        <v>677</v>
      </c>
      <c r="E128">
        <f>IF(settings!$G$4=0,'Student Enrollment Data'!AY129,'Student Enrollment Data'!CL129)</f>
        <v>192</v>
      </c>
      <c r="F128">
        <f>IF(settings!$G$4=0,'Student Enrollment Data'!AZ129,'Student Enrollment Data'!CM129)</f>
        <v>171</v>
      </c>
      <c r="G128" s="28">
        <f>'Student Enrollment Data'!BK129</f>
        <v>49</v>
      </c>
      <c r="H128" s="27">
        <f>'Student Enrollment Data'!BF129</f>
        <v>190</v>
      </c>
      <c r="I128">
        <f>SUM('Student Enrollment Data'!R129:X129,'Student Enrollment Data'!AQ129:AW129)</f>
        <v>0</v>
      </c>
      <c r="J128" s="27">
        <f>'Student Enrollment Data'!BS129</f>
        <v>60.729903052689608</v>
      </c>
      <c r="K128">
        <f t="shared" si="12"/>
        <v>67.7</v>
      </c>
      <c r="L128" s="25"/>
      <c r="M128" s="27">
        <f t="shared" si="17"/>
        <v>677</v>
      </c>
      <c r="N128" s="27">
        <f>E128*'Front page'!$B$20</f>
        <v>19.200000000000003</v>
      </c>
      <c r="O128" s="27">
        <f>F128*'Front page'!$B$21</f>
        <v>17.100000000000001</v>
      </c>
      <c r="P128">
        <f>G128*'Front page'!$B$18</f>
        <v>4.9000000000000004</v>
      </c>
      <c r="Q128" s="27">
        <f>IF(settings!$B$4=0,Calculations!H128,Calculations!I128) *'Front page'!$B$11</f>
        <v>19</v>
      </c>
      <c r="R128" s="28">
        <f>ROUND(I128*'Front page'!$B$9,2)</f>
        <v>0</v>
      </c>
      <c r="S128" s="27">
        <f>J128*'Front page'!$B$14</f>
        <v>6.0729903052689611</v>
      </c>
      <c r="T128" s="81">
        <f>'Front page'!$B$16*Calculations!K128</f>
        <v>1.3540000000000001</v>
      </c>
      <c r="U128" s="81">
        <f>IF(settings!$B$13=0,(Calculations!M128*'Economic Adjustment'!O127)-Calculations!M128,0)</f>
        <v>0</v>
      </c>
      <c r="V128" s="154">
        <f>VLOOKUP(B128,'Remote School Building Weight'!$M$2:$P$174,3,FALSE)</f>
        <v>0</v>
      </c>
      <c r="W128" s="23">
        <f>'Small Dist Weight'!V127-Calculations!D128</f>
        <v>152.24275862068964</v>
      </c>
      <c r="X128" s="23">
        <f>IF(settings!$P$9=0,'Large District Weight'!H127*'Large District Weight'!G127,0)</f>
        <v>0</v>
      </c>
      <c r="Y128" s="23">
        <f t="shared" si="13"/>
        <v>896.86974892595867</v>
      </c>
      <c r="Z128" s="23">
        <f>IF(settings!$F$13=0,'Teacher Exp'!L128,0)</f>
        <v>0</v>
      </c>
      <c r="AA128" s="23">
        <f t="shared" si="14"/>
        <v>896.86974892595867</v>
      </c>
      <c r="AB128" s="25"/>
      <c r="AC128" s="24">
        <f>'Student Enrollment Data'!BU129</f>
        <v>0</v>
      </c>
      <c r="AD128" s="24">
        <f t="shared" si="15"/>
        <v>67.7</v>
      </c>
      <c r="AE128" s="24">
        <f>AD128*'Front page'!$B$16</f>
        <v>1.3540000000000001</v>
      </c>
      <c r="AG128" s="6">
        <f>M128*'Front page'!$E$3</f>
        <v>3323878.1819224176</v>
      </c>
      <c r="AH128" s="6">
        <f>N128*'Front page'!$E$3</f>
        <v>94266.559959985869</v>
      </c>
      <c r="AI128" s="6">
        <f>O128*'Front page'!$E$3</f>
        <v>83956.154964362402</v>
      </c>
      <c r="AJ128" s="6">
        <f>P128*'Front page'!$E$3</f>
        <v>24057.611656454723</v>
      </c>
      <c r="AK128" s="6">
        <f>Q128*'Front page'!$E$3</f>
        <v>93284.616627069336</v>
      </c>
      <c r="AL128" s="6">
        <f>S128*'Front page'!$E$3</f>
        <v>29816.661705627568</v>
      </c>
      <c r="AM128" s="5">
        <f>Z128*'Front page'!$E$3</f>
        <v>0</v>
      </c>
      <c r="AN128" s="6">
        <f>T128*'Front page'!$E$3</f>
        <v>6647.7563638448364</v>
      </c>
      <c r="AO128" s="6">
        <f>U128*'Front page'!$E$3</f>
        <v>0</v>
      </c>
      <c r="AP128" s="6">
        <f>W128*'Front page'!$E$3</f>
        <v>747468.80906202563</v>
      </c>
      <c r="AQ128" s="6">
        <f>V128*'Front page'!$E$3</f>
        <v>0</v>
      </c>
      <c r="AR128" s="6">
        <f>X128*'Front page'!$E$3</f>
        <v>0</v>
      </c>
      <c r="AS128" s="6">
        <f t="shared" si="16"/>
        <v>4403376.3522617882</v>
      </c>
      <c r="AT128" s="7">
        <f>IF(AS128&gt;'Funding Comparison'!D128*(1+'Front page'!$H$10),'Funding Comparison'!D128*(1+'Front page'!$H$10),AS128)</f>
        <v>4403376.3522617882</v>
      </c>
    </row>
    <row r="129" spans="1:46" s="27" customFormat="1">
      <c r="A129" s="27" t="str">
        <f t="shared" si="9"/>
        <v>463</v>
      </c>
      <c r="B129" s="27">
        <f t="shared" si="11"/>
        <v>463</v>
      </c>
      <c r="C129" s="15" t="s">
        <v>137</v>
      </c>
      <c r="D129">
        <f>IF(settings!$G$4=0,'Student Enrollment Data'!AX130,'Student Enrollment Data'!CK130)</f>
        <v>696</v>
      </c>
      <c r="E129">
        <f>IF(settings!$G$4=0,'Student Enrollment Data'!AY130,'Student Enrollment Data'!CL130)</f>
        <v>197</v>
      </c>
      <c r="F129">
        <f>IF(settings!$G$4=0,'Student Enrollment Data'!AZ130,'Student Enrollment Data'!CM130)</f>
        <v>167</v>
      </c>
      <c r="G129" s="28">
        <f>'Student Enrollment Data'!BK130</f>
        <v>49</v>
      </c>
      <c r="H129" s="27">
        <f>'Student Enrollment Data'!BF130</f>
        <v>262</v>
      </c>
      <c r="I129">
        <f>SUM('Student Enrollment Data'!R130:X130,'Student Enrollment Data'!AQ130:AW130)</f>
        <v>0</v>
      </c>
      <c r="J129" s="27">
        <f>'Student Enrollment Data'!BS130</f>
        <v>5</v>
      </c>
      <c r="K129">
        <f t="shared" si="12"/>
        <v>69.600000000000009</v>
      </c>
      <c r="L129" s="25"/>
      <c r="M129" s="27">
        <f t="shared" si="17"/>
        <v>696</v>
      </c>
      <c r="N129" s="27">
        <f>E129*'Front page'!$B$20</f>
        <v>19.700000000000003</v>
      </c>
      <c r="O129" s="27">
        <f>F129*'Front page'!$B$21</f>
        <v>16.7</v>
      </c>
      <c r="P129">
        <f>G129*'Front page'!$B$18</f>
        <v>4.9000000000000004</v>
      </c>
      <c r="Q129" s="27">
        <f>IF(settings!$B$4=0,Calculations!H129,Calculations!I129) *'Front page'!$B$11</f>
        <v>26.200000000000003</v>
      </c>
      <c r="R129" s="28">
        <f>ROUND(I129*'Front page'!$B$9,2)</f>
        <v>0</v>
      </c>
      <c r="S129" s="27">
        <f>J129*'Front page'!$B$14</f>
        <v>0.5</v>
      </c>
      <c r="T129" s="81">
        <f>'Front page'!$B$16*Calculations!K129</f>
        <v>1.3920000000000001</v>
      </c>
      <c r="U129" s="81">
        <f>IF(settings!$B$13=0,(Calculations!M129*'Economic Adjustment'!O128)-Calculations!M129,0)</f>
        <v>0</v>
      </c>
      <c r="V129" s="154">
        <f>VLOOKUP(B129,'Remote School Building Weight'!$M$2:$P$174,3,FALSE)</f>
        <v>0</v>
      </c>
      <c r="W129" s="23">
        <f>'Small Dist Weight'!V128-Calculations!D129</f>
        <v>151.98931034482757</v>
      </c>
      <c r="X129" s="23">
        <f>IF(settings!$P$9=0,'Large District Weight'!H128*'Large District Weight'!G128,0)</f>
        <v>0</v>
      </c>
      <c r="Y129" s="23">
        <f t="shared" si="13"/>
        <v>917.38131034482774</v>
      </c>
      <c r="Z129" s="23">
        <f>IF(settings!$F$13=0,'Teacher Exp'!L129,0)</f>
        <v>0</v>
      </c>
      <c r="AA129" s="23">
        <f t="shared" si="14"/>
        <v>917.38131034482774</v>
      </c>
      <c r="AB129" s="25"/>
      <c r="AC129" s="24">
        <f>'Student Enrollment Data'!BU130</f>
        <v>34</v>
      </c>
      <c r="AD129" s="24">
        <f t="shared" si="15"/>
        <v>69.600000000000009</v>
      </c>
      <c r="AE129" s="24">
        <f>AD129*'Front page'!$B$16</f>
        <v>1.3920000000000001</v>
      </c>
      <c r="AG129" s="6">
        <f>M129*'Front page'!$E$3</f>
        <v>3417162.7985494873</v>
      </c>
      <c r="AH129" s="6">
        <f>N129*'Front page'!$E$3</f>
        <v>96721.418292277158</v>
      </c>
      <c r="AI129" s="6">
        <f>O129*'Front page'!$E$3</f>
        <v>81992.26829852935</v>
      </c>
      <c r="AJ129" s="6">
        <f>P129*'Front page'!$E$3</f>
        <v>24057.611656454723</v>
      </c>
      <c r="AK129" s="6">
        <f>Q129*'Front page'!$E$3</f>
        <v>128634.57661206405</v>
      </c>
      <c r="AL129" s="6">
        <f>S129*'Front page'!$E$3</f>
        <v>2454.8583322912982</v>
      </c>
      <c r="AM129" s="5">
        <f>Z129*'Front page'!$E$3</f>
        <v>0</v>
      </c>
      <c r="AN129" s="6">
        <f>T129*'Front page'!$E$3</f>
        <v>6834.3255970989749</v>
      </c>
      <c r="AO129" s="6">
        <f>U129*'Front page'!$E$3</f>
        <v>0</v>
      </c>
      <c r="AP129" s="6">
        <f>W129*'Front page'!$E$3</f>
        <v>746224.44983841595</v>
      </c>
      <c r="AQ129" s="6">
        <f>V129*'Front page'!$E$3</f>
        <v>0</v>
      </c>
      <c r="AR129" s="6">
        <f>X129*'Front page'!$E$3</f>
        <v>0</v>
      </c>
      <c r="AS129" s="6">
        <f t="shared" si="16"/>
        <v>4504082.3071766188</v>
      </c>
      <c r="AT129" s="7">
        <f>IF(AS129&gt;'Funding Comparison'!D129*(1+'Front page'!$H$10),'Funding Comparison'!D129*(1+'Front page'!$H$10),AS129)</f>
        <v>4504082.3071766188</v>
      </c>
    </row>
    <row r="130" spans="1:46" s="27" customFormat="1">
      <c r="A130" s="27" t="str">
        <f t="shared" si="9"/>
        <v>464</v>
      </c>
      <c r="B130" s="27">
        <f t="shared" si="11"/>
        <v>464</v>
      </c>
      <c r="C130" s="15" t="s">
        <v>138</v>
      </c>
      <c r="D130">
        <f>IF(settings!$G$4=0,'Student Enrollment Data'!AX131,'Student Enrollment Data'!CK131)</f>
        <v>502</v>
      </c>
      <c r="E130">
        <f>IF(settings!$G$4=0,'Student Enrollment Data'!AY131,'Student Enrollment Data'!CL131)</f>
        <v>257</v>
      </c>
      <c r="F130">
        <f>IF(settings!$G$4=0,'Student Enrollment Data'!AZ131,'Student Enrollment Data'!CM131)</f>
        <v>0</v>
      </c>
      <c r="G130" s="28">
        <f>'Student Enrollment Data'!BK131</f>
        <v>41</v>
      </c>
      <c r="H130" s="27">
        <f>'Student Enrollment Data'!BF131</f>
        <v>161</v>
      </c>
      <c r="I130">
        <f>SUM('Student Enrollment Data'!R131:X131,'Student Enrollment Data'!AQ131:AW131)</f>
        <v>0</v>
      </c>
      <c r="J130" s="27">
        <f>'Student Enrollment Data'!BS131</f>
        <v>36.605122551475027</v>
      </c>
      <c r="K130">
        <f t="shared" si="12"/>
        <v>50.2</v>
      </c>
      <c r="L130" s="25"/>
      <c r="M130" s="27">
        <f t="shared" si="17"/>
        <v>502</v>
      </c>
      <c r="N130" s="27">
        <f>E130*'Front page'!$B$20</f>
        <v>25.700000000000003</v>
      </c>
      <c r="O130" s="27">
        <f>F130*'Front page'!$B$21</f>
        <v>0</v>
      </c>
      <c r="P130">
        <f>G130*'Front page'!$B$18</f>
        <v>4.1000000000000005</v>
      </c>
      <c r="Q130" s="27">
        <f>IF(settings!$B$4=0,Calculations!H130,Calculations!I130) *'Front page'!$B$11</f>
        <v>16.100000000000001</v>
      </c>
      <c r="R130" s="28">
        <f>ROUND(I130*'Front page'!$B$9,2)</f>
        <v>0</v>
      </c>
      <c r="S130" s="27">
        <f>J130*'Front page'!$B$14</f>
        <v>3.6605122551475029</v>
      </c>
      <c r="T130" s="81">
        <f>'Front page'!$B$16*Calculations!K130</f>
        <v>1.004</v>
      </c>
      <c r="U130" s="81">
        <f>IF(settings!$B$13=0,(Calculations!M130*'Economic Adjustment'!O129)-Calculations!M130,0)</f>
        <v>0</v>
      </c>
      <c r="V130" s="154">
        <f>VLOOKUP(B130,'Remote School Building Weight'!$M$2:$P$174,3,FALSE)</f>
        <v>0</v>
      </c>
      <c r="W130" s="23">
        <f>'Small Dist Weight'!V129-Calculations!D130</f>
        <v>70.116465517241409</v>
      </c>
      <c r="X130" s="23">
        <f>IF(settings!$P$9=0,'Large District Weight'!H129*'Large District Weight'!G129,0)</f>
        <v>0</v>
      </c>
      <c r="Y130" s="23">
        <f t="shared" si="13"/>
        <v>622.68097777238904</v>
      </c>
      <c r="Z130" s="23">
        <f>IF(settings!$F$13=0,'Teacher Exp'!L130,0)</f>
        <v>0</v>
      </c>
      <c r="AA130" s="23">
        <f t="shared" si="14"/>
        <v>622.68097777238904</v>
      </c>
      <c r="AB130" s="25"/>
      <c r="AC130" s="24">
        <f>'Student Enrollment Data'!BU131</f>
        <v>20</v>
      </c>
      <c r="AD130" s="24">
        <f t="shared" si="15"/>
        <v>50.2</v>
      </c>
      <c r="AE130" s="24">
        <f>AD130*'Front page'!$B$16</f>
        <v>1.004</v>
      </c>
      <c r="AG130" s="6">
        <f>M130*'Front page'!$E$3</f>
        <v>2464677.7656204635</v>
      </c>
      <c r="AH130" s="6">
        <f>N130*'Front page'!$E$3</f>
        <v>126179.71827977274</v>
      </c>
      <c r="AI130" s="6">
        <f>O130*'Front page'!$E$3</f>
        <v>0</v>
      </c>
      <c r="AJ130" s="6">
        <f>P130*'Front page'!$E$3</f>
        <v>20129.838324788649</v>
      </c>
      <c r="AK130" s="6">
        <f>Q130*'Front page'!$E$3</f>
        <v>79046.438299779809</v>
      </c>
      <c r="AL130" s="6">
        <f>S130*'Front page'!$E$3</f>
        <v>17972.078020006516</v>
      </c>
      <c r="AM130" s="5">
        <f>Z130*'Front page'!$E$3</f>
        <v>0</v>
      </c>
      <c r="AN130" s="6">
        <f>T130*'Front page'!$E$3</f>
        <v>4929.3555312409271</v>
      </c>
      <c r="AO130" s="6">
        <f>U130*'Front page'!$E$3</f>
        <v>0</v>
      </c>
      <c r="AP130" s="6">
        <f>W130*'Front page'!$E$3</f>
        <v>344251.97921163111</v>
      </c>
      <c r="AQ130" s="6">
        <f>V130*'Front page'!$E$3</f>
        <v>0</v>
      </c>
      <c r="AR130" s="6">
        <f>X130*'Front page'!$E$3</f>
        <v>0</v>
      </c>
      <c r="AS130" s="6">
        <f t="shared" si="16"/>
        <v>3057187.1732876832</v>
      </c>
      <c r="AT130" s="7">
        <f>IF(AS130&gt;'Funding Comparison'!D130*(1+'Front page'!$H$10),'Funding Comparison'!D130*(1+'Front page'!$H$10),AS130)</f>
        <v>3057187.1732876832</v>
      </c>
    </row>
    <row r="131" spans="1:46" s="27" customFormat="1">
      <c r="A131" s="27" t="str">
        <f t="shared" ref="A131:A175" si="18">RIGHT(C131,3)</f>
        <v>465</v>
      </c>
      <c r="B131" s="27">
        <f t="shared" si="11"/>
        <v>465</v>
      </c>
      <c r="C131" s="15" t="s">
        <v>139</v>
      </c>
      <c r="D131">
        <f>IF(settings!$G$4=0,'Student Enrollment Data'!AX132,'Student Enrollment Data'!CK132)</f>
        <v>213.5</v>
      </c>
      <c r="E131">
        <f>IF(settings!$G$4=0,'Student Enrollment Data'!AY132,'Student Enrollment Data'!CL132)</f>
        <v>66.5</v>
      </c>
      <c r="F131">
        <f>IF(settings!$G$4=0,'Student Enrollment Data'!AZ132,'Student Enrollment Data'!CM132)</f>
        <v>52</v>
      </c>
      <c r="G131" s="28">
        <f>'Student Enrollment Data'!BK132</f>
        <v>16</v>
      </c>
      <c r="H131" s="27">
        <f>'Student Enrollment Data'!BF132</f>
        <v>125</v>
      </c>
      <c r="I131">
        <f>SUM('Student Enrollment Data'!R132:X132,'Student Enrollment Data'!AQ132:AW132)</f>
        <v>0</v>
      </c>
      <c r="J131" s="27">
        <f>'Student Enrollment Data'!BS132</f>
        <v>11</v>
      </c>
      <c r="K131">
        <f t="shared" si="12"/>
        <v>21.35</v>
      </c>
      <c r="L131" s="25"/>
      <c r="M131" s="27">
        <f t="shared" ref="M131:M167" si="19">MAX(D131,30)</f>
        <v>213.5</v>
      </c>
      <c r="N131" s="27">
        <f>E131*'Front page'!$B$20</f>
        <v>6.65</v>
      </c>
      <c r="O131" s="27">
        <f>F131*'Front page'!$B$21</f>
        <v>5.2</v>
      </c>
      <c r="P131">
        <f>G131*'Front page'!$B$18</f>
        <v>1.6</v>
      </c>
      <c r="Q131" s="27">
        <f>IF(settings!$B$4=0,Calculations!H131,Calculations!I131) *'Front page'!$B$11</f>
        <v>12.5</v>
      </c>
      <c r="R131" s="28">
        <f>ROUND(I131*'Front page'!$B$9,2)</f>
        <v>0</v>
      </c>
      <c r="S131" s="27">
        <f>J131*'Front page'!$B$14</f>
        <v>1.1000000000000001</v>
      </c>
      <c r="T131" s="81">
        <f>'Front page'!$B$16*Calculations!K131</f>
        <v>0.42700000000000005</v>
      </c>
      <c r="U131" s="81">
        <f>IF(settings!$B$13=0,(Calculations!M131*'Economic Adjustment'!O130)-Calculations!M131,0)</f>
        <v>0</v>
      </c>
      <c r="V131" s="154">
        <f>VLOOKUP(B131,'Remote School Building Weight'!$M$2:$P$174,3,FALSE)</f>
        <v>0</v>
      </c>
      <c r="W131" s="23">
        <f>'Small Dist Weight'!V130-Calculations!D131</f>
        <v>134.98404192789968</v>
      </c>
      <c r="X131" s="23">
        <f>IF(settings!$P$9=0,'Large District Weight'!H130*'Large District Weight'!G130,0)</f>
        <v>0</v>
      </c>
      <c r="Y131" s="23">
        <f t="shared" si="13"/>
        <v>375.96104192789966</v>
      </c>
      <c r="Z131" s="23">
        <f>IF(settings!$F$13=0,'Teacher Exp'!L131,0)</f>
        <v>0</v>
      </c>
      <c r="AA131" s="23">
        <f t="shared" si="14"/>
        <v>375.96104192789966</v>
      </c>
      <c r="AB131" s="25"/>
      <c r="AC131" s="24">
        <f>'Student Enrollment Data'!BU132</f>
        <v>0</v>
      </c>
      <c r="AD131" s="24">
        <f t="shared" si="15"/>
        <v>21.35</v>
      </c>
      <c r="AE131" s="24">
        <f>AD131*'Front page'!$B$16</f>
        <v>0.42700000000000005</v>
      </c>
      <c r="AG131" s="6">
        <f>M131*'Front page'!$E$3</f>
        <v>1048224.5078883843</v>
      </c>
      <c r="AH131" s="6">
        <f>N131*'Front page'!$E$3</f>
        <v>32649.615819474267</v>
      </c>
      <c r="AI131" s="6">
        <f>O131*'Front page'!$E$3</f>
        <v>25530.526655829501</v>
      </c>
      <c r="AJ131" s="6">
        <f>P131*'Front page'!$E$3</f>
        <v>7855.5466633321548</v>
      </c>
      <c r="AK131" s="6">
        <f>Q131*'Front page'!$E$3</f>
        <v>61371.458307282453</v>
      </c>
      <c r="AL131" s="6">
        <f>S131*'Front page'!$E$3</f>
        <v>5400.6883310408566</v>
      </c>
      <c r="AM131" s="5">
        <f>Z131*'Front page'!$E$3</f>
        <v>0</v>
      </c>
      <c r="AN131" s="6">
        <f>T131*'Front page'!$E$3</f>
        <v>2096.4490157767691</v>
      </c>
      <c r="AO131" s="6">
        <f>U131*'Front page'!$E$3</f>
        <v>0</v>
      </c>
      <c r="AP131" s="6">
        <f>W131*'Front page'!$E$3</f>
        <v>662733.40010612493</v>
      </c>
      <c r="AQ131" s="6">
        <f>V131*'Front page'!$E$3</f>
        <v>0</v>
      </c>
      <c r="AR131" s="6">
        <f>X131*'Front page'!$E$3</f>
        <v>0</v>
      </c>
      <c r="AS131" s="6">
        <f t="shared" si="16"/>
        <v>1845862.1927872454</v>
      </c>
      <c r="AT131" s="7">
        <f>IF(AS131&gt;'Funding Comparison'!D131*(1+'Front page'!$H$10),'Funding Comparison'!D131*(1+'Front page'!$H$10),AS131)</f>
        <v>1845862.1927872454</v>
      </c>
    </row>
    <row r="132" spans="1:46" s="27" customFormat="1">
      <c r="A132" s="27" t="str">
        <f t="shared" si="18"/>
        <v>466</v>
      </c>
      <c r="B132" s="27">
        <f t="shared" ref="B132:B166" si="20">A132*1</f>
        <v>466</v>
      </c>
      <c r="C132" s="15" t="s">
        <v>140</v>
      </c>
      <c r="D132">
        <f>IF(settings!$G$4=0,'Student Enrollment Data'!AX133,'Student Enrollment Data'!CK133)</f>
        <v>562</v>
      </c>
      <c r="E132">
        <f>IF(settings!$G$4=0,'Student Enrollment Data'!AY133,'Student Enrollment Data'!CL133)</f>
        <v>0</v>
      </c>
      <c r="F132">
        <f>IF(settings!$G$4=0,'Student Enrollment Data'!AZ133,'Student Enrollment Data'!CM133)</f>
        <v>562</v>
      </c>
      <c r="G132" s="28">
        <f>'Student Enrollment Data'!BK133</f>
        <v>49</v>
      </c>
      <c r="H132" s="27">
        <f>'Student Enrollment Data'!BF133</f>
        <v>307</v>
      </c>
      <c r="I132">
        <f>SUM('Student Enrollment Data'!R133:X133,'Student Enrollment Data'!AQ133:AW133)</f>
        <v>0</v>
      </c>
      <c r="J132" s="27">
        <f>'Student Enrollment Data'!BS133</f>
        <v>0</v>
      </c>
      <c r="K132">
        <f t="shared" ref="K132:K175" si="21">M132*0.1</f>
        <v>56.2</v>
      </c>
      <c r="L132" s="25"/>
      <c r="M132" s="27">
        <f t="shared" si="19"/>
        <v>562</v>
      </c>
      <c r="N132" s="27">
        <f>E132*'Front page'!$B$20</f>
        <v>0</v>
      </c>
      <c r="O132" s="27">
        <f>F132*'Front page'!$B$21</f>
        <v>56.2</v>
      </c>
      <c r="P132">
        <f>G132*'Front page'!$B$18</f>
        <v>4.9000000000000004</v>
      </c>
      <c r="Q132" s="27">
        <f>IF(settings!$B$4=0,Calculations!H132,Calculations!I132) *'Front page'!$B$11</f>
        <v>30.700000000000003</v>
      </c>
      <c r="R132" s="28">
        <f>ROUND(I132*'Front page'!$B$9,2)</f>
        <v>0</v>
      </c>
      <c r="S132" s="27">
        <f>J132*'Front page'!$B$14</f>
        <v>0</v>
      </c>
      <c r="T132" s="81">
        <f>'Front page'!$B$16*Calculations!K132</f>
        <v>1.1240000000000001</v>
      </c>
      <c r="U132" s="81">
        <f>IF(settings!$B$13=0,(Calculations!M132*'Economic Adjustment'!O131)-Calculations!M132,0)</f>
        <v>0</v>
      </c>
      <c r="V132" s="154">
        <f>VLOOKUP(B132,'Remote School Building Weight'!$M$2:$P$174,3,FALSE)</f>
        <v>0</v>
      </c>
      <c r="W132" s="23">
        <f>'Small Dist Weight'!V131-Calculations!D132</f>
        <v>104.45448275862088</v>
      </c>
      <c r="X132" s="23">
        <f>IF(settings!$P$9=0,'Large District Weight'!H131*'Large District Weight'!G131,0)</f>
        <v>0</v>
      </c>
      <c r="Y132" s="23">
        <f t="shared" ref="Y132:Y175" si="22">SUM(M132:X132)</f>
        <v>759.37848275862098</v>
      </c>
      <c r="Z132" s="23">
        <f>IF(settings!$F$13=0,'Teacher Exp'!L132,0)</f>
        <v>0</v>
      </c>
      <c r="AA132" s="23">
        <f t="shared" ref="AA132:AA175" si="23">Y132+Z132</f>
        <v>759.37848275862098</v>
      </c>
      <c r="AB132" s="25"/>
      <c r="AC132" s="24">
        <f>'Student Enrollment Data'!BU133</f>
        <v>0</v>
      </c>
      <c r="AD132" s="24">
        <f t="shared" ref="AD132:AD175" si="24">M132*0.1</f>
        <v>56.2</v>
      </c>
      <c r="AE132" s="24">
        <f>AD132*'Front page'!$B$16</f>
        <v>1.1240000000000001</v>
      </c>
      <c r="AG132" s="6">
        <f>M132*'Front page'!$E$3</f>
        <v>2759260.765495419</v>
      </c>
      <c r="AH132" s="6">
        <f>N132*'Front page'!$E$3</f>
        <v>0</v>
      </c>
      <c r="AI132" s="6">
        <f>O132*'Front page'!$E$3</f>
        <v>275926.07654954196</v>
      </c>
      <c r="AJ132" s="6">
        <f>P132*'Front page'!$E$3</f>
        <v>24057.611656454723</v>
      </c>
      <c r="AK132" s="6">
        <f>Q132*'Front page'!$E$3</f>
        <v>150728.30160268574</v>
      </c>
      <c r="AL132" s="6">
        <f>S132*'Front page'!$E$3</f>
        <v>0</v>
      </c>
      <c r="AM132" s="5">
        <f>Z132*'Front page'!$E$3</f>
        <v>0</v>
      </c>
      <c r="AN132" s="6">
        <f>T132*'Front page'!$E$3</f>
        <v>5518.521530990839</v>
      </c>
      <c r="AO132" s="6">
        <f>U132*'Front page'!$E$3</f>
        <v>0</v>
      </c>
      <c r="AP132" s="6">
        <f>W132*'Front page'!$E$3</f>
        <v>512841.91469035647</v>
      </c>
      <c r="AQ132" s="6">
        <f>V132*'Front page'!$E$3</f>
        <v>0</v>
      </c>
      <c r="AR132" s="6">
        <f>X132*'Front page'!$E$3</f>
        <v>0</v>
      </c>
      <c r="AS132" s="6">
        <f t="shared" ref="AS132:AS175" si="25">SUM(AG132:AR132)</f>
        <v>3728333.191525449</v>
      </c>
      <c r="AT132" s="7">
        <f>IF(AS132&gt;'Funding Comparison'!D132*(1+'Front page'!$H$10),'Funding Comparison'!D132*(1+'Front page'!$H$10),AS132)</f>
        <v>3728333.191525449</v>
      </c>
    </row>
    <row r="133" spans="1:46" s="27" customFormat="1" ht="29.25">
      <c r="A133" s="27" t="str">
        <f t="shared" si="18"/>
        <v>468</v>
      </c>
      <c r="B133" s="27">
        <f t="shared" si="20"/>
        <v>468</v>
      </c>
      <c r="C133" s="15" t="s">
        <v>141</v>
      </c>
      <c r="D133">
        <f>IF(settings!$G$4=0,'Student Enrollment Data'!AX134,'Student Enrollment Data'!CK134)</f>
        <v>273</v>
      </c>
      <c r="E133">
        <f>IF(settings!$G$4=0,'Student Enrollment Data'!AY134,'Student Enrollment Data'!CL134)</f>
        <v>62</v>
      </c>
      <c r="F133">
        <f>IF(settings!$G$4=0,'Student Enrollment Data'!AZ134,'Student Enrollment Data'!CM134)</f>
        <v>0</v>
      </c>
      <c r="G133" s="28">
        <f>'Student Enrollment Data'!BK134</f>
        <v>24</v>
      </c>
      <c r="H133" s="27">
        <f>'Student Enrollment Data'!BF134</f>
        <v>86</v>
      </c>
      <c r="I133">
        <f>SUM('Student Enrollment Data'!R134:X134,'Student Enrollment Data'!AQ134:AW134)</f>
        <v>0</v>
      </c>
      <c r="J133" s="27">
        <f>'Student Enrollment Data'!BS134</f>
        <v>0</v>
      </c>
      <c r="K133">
        <f t="shared" si="21"/>
        <v>27.3</v>
      </c>
      <c r="L133" s="25"/>
      <c r="M133" s="27">
        <f t="shared" si="19"/>
        <v>273</v>
      </c>
      <c r="N133" s="27">
        <f>E133*'Front page'!$B$20</f>
        <v>6.2</v>
      </c>
      <c r="O133" s="27">
        <f>F133*'Front page'!$B$21</f>
        <v>0</v>
      </c>
      <c r="P133">
        <f>G133*'Front page'!$B$18</f>
        <v>2.4000000000000004</v>
      </c>
      <c r="Q133" s="27">
        <f>IF(settings!$B$4=0,Calculations!H133,Calculations!I133) *'Front page'!$B$11</f>
        <v>8.6</v>
      </c>
      <c r="R133" s="28">
        <f>ROUND(I133*'Front page'!$B$9,2)</f>
        <v>0</v>
      </c>
      <c r="S133" s="27">
        <f>J133*'Front page'!$B$14</f>
        <v>0</v>
      </c>
      <c r="T133" s="81">
        <f>'Front page'!$B$16*Calculations!K133</f>
        <v>0.54600000000000004</v>
      </c>
      <c r="U133" s="81">
        <f>IF(settings!$B$13=0,(Calculations!M133*'Economic Adjustment'!O132)-Calculations!M133,0)</f>
        <v>0</v>
      </c>
      <c r="V133" s="154">
        <f>VLOOKUP(B133,'Remote School Building Weight'!$M$2:$P$174,3,FALSE)</f>
        <v>0</v>
      </c>
      <c r="W133" s="23">
        <f>'Small Dist Weight'!V132-Calculations!D133</f>
        <v>127.93646551724134</v>
      </c>
      <c r="X133" s="23">
        <f>IF(settings!$P$9=0,'Large District Weight'!H132*'Large District Weight'!G132,0)</f>
        <v>0</v>
      </c>
      <c r="Y133" s="23">
        <f t="shared" si="22"/>
        <v>418.68246551724133</v>
      </c>
      <c r="Z133" s="23">
        <f>IF(settings!$F$13=0,'Teacher Exp'!L133,0)</f>
        <v>0</v>
      </c>
      <c r="AA133" s="23">
        <f t="shared" si="23"/>
        <v>418.68246551724133</v>
      </c>
      <c r="AB133" s="25"/>
      <c r="AC133" s="24">
        <f>'Student Enrollment Data'!BU134</f>
        <v>0</v>
      </c>
      <c r="AD133" s="24">
        <f t="shared" si="24"/>
        <v>27.3</v>
      </c>
      <c r="AE133" s="24">
        <f>AD133*'Front page'!$B$16</f>
        <v>0.54600000000000004</v>
      </c>
      <c r="AG133" s="6">
        <f>M133*'Front page'!$E$3</f>
        <v>1340352.6494310489</v>
      </c>
      <c r="AH133" s="6">
        <f>N133*'Front page'!$E$3</f>
        <v>30440.243320412097</v>
      </c>
      <c r="AI133" s="6">
        <f>O133*'Front page'!$E$3</f>
        <v>0</v>
      </c>
      <c r="AJ133" s="6">
        <f>P133*'Front page'!$E$3</f>
        <v>11783.319994998234</v>
      </c>
      <c r="AK133" s="6">
        <f>Q133*'Front page'!$E$3</f>
        <v>42223.563315410327</v>
      </c>
      <c r="AL133" s="6">
        <f>S133*'Front page'!$E$3</f>
        <v>0</v>
      </c>
      <c r="AM133" s="5">
        <f>Z133*'Front page'!$E$3</f>
        <v>0</v>
      </c>
      <c r="AN133" s="6">
        <f>T133*'Front page'!$E$3</f>
        <v>2680.7052988620981</v>
      </c>
      <c r="AO133" s="6">
        <f>U133*'Front page'!$E$3</f>
        <v>0</v>
      </c>
      <c r="AP133" s="6">
        <f>W133*'Front page'!$E$3</f>
        <v>628131.79675779655</v>
      </c>
      <c r="AQ133" s="6">
        <f>V133*'Front page'!$E$3</f>
        <v>0</v>
      </c>
      <c r="AR133" s="6">
        <f>X133*'Front page'!$E$3</f>
        <v>0</v>
      </c>
      <c r="AS133" s="6">
        <f t="shared" si="25"/>
        <v>2055612.2781185282</v>
      </c>
      <c r="AT133" s="7">
        <f>IF(AS133&gt;'Funding Comparison'!D133*(1+'Front page'!$H$10),'Funding Comparison'!D133*(1+'Front page'!$H$10),AS133)</f>
        <v>2055612.2781185282</v>
      </c>
    </row>
    <row r="134" spans="1:46" s="27" customFormat="1">
      <c r="A134" s="27" t="str">
        <f t="shared" si="18"/>
        <v>469</v>
      </c>
      <c r="B134" s="27">
        <f t="shared" si="20"/>
        <v>469</v>
      </c>
      <c r="C134" s="15" t="s">
        <v>142</v>
      </c>
      <c r="D134">
        <f>IF(settings!$G$4=0,'Student Enrollment Data'!AX135,'Student Enrollment Data'!CK135)</f>
        <v>234.88725490196077</v>
      </c>
      <c r="E134">
        <f>IF(settings!$G$4=0,'Student Enrollment Data'!AY135,'Student Enrollment Data'!CL135)</f>
        <v>0</v>
      </c>
      <c r="F134">
        <f>IF(settings!$G$4=0,'Student Enrollment Data'!AZ135,'Student Enrollment Data'!CM135)</f>
        <v>181.72549019607843</v>
      </c>
      <c r="G134" s="28">
        <f>'Student Enrollment Data'!BK135</f>
        <v>19</v>
      </c>
      <c r="H134" s="27">
        <f>'Student Enrollment Data'!BF135</f>
        <v>128</v>
      </c>
      <c r="I134">
        <f>SUM('Student Enrollment Data'!R135:X135,'Student Enrollment Data'!AQ135:AW135)</f>
        <v>147.22260801692138</v>
      </c>
      <c r="J134" s="27">
        <f>'Student Enrollment Data'!BS135</f>
        <v>0</v>
      </c>
      <c r="K134">
        <f t="shared" si="21"/>
        <v>23.488725490196078</v>
      </c>
      <c r="L134" s="25"/>
      <c r="M134" s="27">
        <f t="shared" si="19"/>
        <v>234.88725490196077</v>
      </c>
      <c r="N134" s="27">
        <f>E134*'Front page'!$B$20</f>
        <v>0</v>
      </c>
      <c r="O134" s="27">
        <f>F134*'Front page'!$B$21</f>
        <v>18.172549019607843</v>
      </c>
      <c r="P134">
        <f>G134*'Front page'!$B$18</f>
        <v>1.9000000000000001</v>
      </c>
      <c r="Q134" s="27">
        <f>IF(settings!$B$4=0,Calculations!H134,Calculations!I134) *'Front page'!$B$11</f>
        <v>12.8</v>
      </c>
      <c r="R134" s="28">
        <f>ROUND(I134*'Front page'!$B$9,2)</f>
        <v>0</v>
      </c>
      <c r="S134" s="27">
        <f>J134*'Front page'!$B$14</f>
        <v>0</v>
      </c>
      <c r="T134" s="81">
        <f>'Front page'!$B$16*Calculations!K134</f>
        <v>0.46977450980392155</v>
      </c>
      <c r="U134" s="81">
        <f>IF(settings!$B$13=0,(Calculations!M134*'Economic Adjustment'!O133)-Calculations!M134,0)</f>
        <v>0</v>
      </c>
      <c r="V134" s="154">
        <f>VLOOKUP(B134,'Remote School Building Weight'!$M$2:$P$174,3,FALSE)</f>
        <v>0</v>
      </c>
      <c r="W134" s="23">
        <f>'Small Dist Weight'!V133-Calculations!D134</f>
        <v>151.78878276881238</v>
      </c>
      <c r="X134" s="23">
        <f>IF(settings!$P$9=0,'Large District Weight'!H133*'Large District Weight'!G133,0)</f>
        <v>0</v>
      </c>
      <c r="Y134" s="23">
        <f t="shared" si="22"/>
        <v>420.01836120018493</v>
      </c>
      <c r="Z134" s="23">
        <f>IF(settings!$F$13=0,'Teacher Exp'!L134,0)</f>
        <v>0</v>
      </c>
      <c r="AA134" s="23">
        <f t="shared" si="23"/>
        <v>420.01836120018493</v>
      </c>
      <c r="AB134" s="25"/>
      <c r="AC134" s="24">
        <f>'Student Enrollment Data'!BU135</f>
        <v>0</v>
      </c>
      <c r="AD134" s="24">
        <f t="shared" si="24"/>
        <v>23.488725490196078</v>
      </c>
      <c r="AE134" s="24">
        <f>AD134*'Front page'!$B$16</f>
        <v>0.46977450980392155</v>
      </c>
      <c r="AG134" s="6">
        <f>M134*'Front page'!$E$3</f>
        <v>1153229.8696902171</v>
      </c>
      <c r="AH134" s="6">
        <f>N134*'Front page'!$E$3</f>
        <v>0</v>
      </c>
      <c r="AI134" s="6">
        <f>O134*'Front page'!$E$3</f>
        <v>89222.066759512745</v>
      </c>
      <c r="AJ134" s="6">
        <f>P134*'Front page'!$E$3</f>
        <v>9328.4616627069336</v>
      </c>
      <c r="AK134" s="6">
        <f>Q134*'Front page'!$E$3</f>
        <v>62844.373306657239</v>
      </c>
      <c r="AL134" s="6">
        <f>S134*'Front page'!$E$3</f>
        <v>0</v>
      </c>
      <c r="AM134" s="5">
        <f>Z134*'Front page'!$E$3</f>
        <v>0</v>
      </c>
      <c r="AN134" s="6">
        <f>T134*'Front page'!$E$3</f>
        <v>2306.4597393804338</v>
      </c>
      <c r="AO134" s="6">
        <f>U134*'Front page'!$E$3</f>
        <v>0</v>
      </c>
      <c r="AP134" s="6">
        <f>W134*'Front page'!$E$3</f>
        <v>745239.91625674581</v>
      </c>
      <c r="AQ134" s="6">
        <f>V134*'Front page'!$E$3</f>
        <v>0</v>
      </c>
      <c r="AR134" s="6">
        <f>X134*'Front page'!$E$3</f>
        <v>0</v>
      </c>
      <c r="AS134" s="6">
        <f t="shared" si="25"/>
        <v>2062171.1474152203</v>
      </c>
      <c r="AT134" s="7">
        <f>IF(AS134&gt;'Funding Comparison'!D134*(1+'Front page'!$H$10),'Funding Comparison'!D134*(1+'Front page'!$H$10),AS134)</f>
        <v>2062171.1474152203</v>
      </c>
    </row>
    <row r="135" spans="1:46" s="27" customFormat="1">
      <c r="A135" s="27" t="str">
        <f t="shared" si="18"/>
        <v>470</v>
      </c>
      <c r="B135" s="27">
        <f t="shared" si="20"/>
        <v>470</v>
      </c>
      <c r="C135" s="15" t="s">
        <v>143</v>
      </c>
      <c r="D135">
        <f>IF(settings!$G$4=0,'Student Enrollment Data'!AX136,'Student Enrollment Data'!CK136)</f>
        <v>312.89411764705881</v>
      </c>
      <c r="E135">
        <f>IF(settings!$G$4=0,'Student Enrollment Data'!AY136,'Student Enrollment Data'!CL136)</f>
        <v>0</v>
      </c>
      <c r="F135">
        <f>IF(settings!$G$4=0,'Student Enrollment Data'!AZ136,'Student Enrollment Data'!CM136)</f>
        <v>312.89411764705881</v>
      </c>
      <c r="G135" s="28">
        <f>'Student Enrollment Data'!BK136</f>
        <v>31</v>
      </c>
      <c r="H135" s="27">
        <f>'Student Enrollment Data'!BF136</f>
        <v>132.43</v>
      </c>
      <c r="I135">
        <f>SUM('Student Enrollment Data'!R136:X136,'Student Enrollment Data'!AQ136:AW136)</f>
        <v>217.69346086997948</v>
      </c>
      <c r="J135" s="27">
        <f>'Student Enrollment Data'!BS136</f>
        <v>0</v>
      </c>
      <c r="K135">
        <f t="shared" si="21"/>
        <v>31.289411764705882</v>
      </c>
      <c r="L135" s="25"/>
      <c r="M135" s="27">
        <f t="shared" si="19"/>
        <v>312.89411764705881</v>
      </c>
      <c r="N135" s="27">
        <f>E135*'Front page'!$B$20</f>
        <v>0</v>
      </c>
      <c r="O135" s="27">
        <f>F135*'Front page'!$B$21</f>
        <v>31.289411764705882</v>
      </c>
      <c r="P135">
        <f>G135*'Front page'!$B$18</f>
        <v>3.1</v>
      </c>
      <c r="Q135" s="27">
        <f>IF(settings!$B$4=0,Calculations!H135,Calculations!I135) *'Front page'!$B$11</f>
        <v>13.243000000000002</v>
      </c>
      <c r="R135" s="28">
        <f>ROUND(I135*'Front page'!$B$9,2)</f>
        <v>0</v>
      </c>
      <c r="S135" s="27">
        <f>J135*'Front page'!$B$14</f>
        <v>0</v>
      </c>
      <c r="T135" s="81">
        <f>'Front page'!$B$16*Calculations!K135</f>
        <v>0.62578823529411765</v>
      </c>
      <c r="U135" s="81">
        <f>IF(settings!$B$13=0,(Calculations!M135*'Economic Adjustment'!O134)-Calculations!M135,0)</f>
        <v>0</v>
      </c>
      <c r="V135" s="154">
        <f>VLOOKUP(B135,'Remote School Building Weight'!$M$2:$P$174,3,FALSE)</f>
        <v>0</v>
      </c>
      <c r="W135" s="23">
        <f>'Small Dist Weight'!V134-Calculations!D135</f>
        <v>151.30112473451862</v>
      </c>
      <c r="X135" s="23">
        <f>IF(settings!$P$9=0,'Large District Weight'!H134*'Large District Weight'!G134,0)</f>
        <v>0</v>
      </c>
      <c r="Y135" s="23">
        <f t="shared" si="22"/>
        <v>512.45344238157747</v>
      </c>
      <c r="Z135" s="23">
        <f>IF(settings!$F$13=0,'Teacher Exp'!L135,0)</f>
        <v>0</v>
      </c>
      <c r="AA135" s="23">
        <f t="shared" si="23"/>
        <v>512.45344238157747</v>
      </c>
      <c r="AB135" s="25"/>
      <c r="AC135" s="24">
        <f>'Student Enrollment Data'!BU136</f>
        <v>0</v>
      </c>
      <c r="AD135" s="24">
        <f t="shared" si="24"/>
        <v>31.289411764705882</v>
      </c>
      <c r="AE135" s="24">
        <f>AD135*'Front page'!$B$16</f>
        <v>0.62578823529411765</v>
      </c>
      <c r="AG135" s="6">
        <f>M135*'Front page'!$E$3</f>
        <v>1536221.463661632</v>
      </c>
      <c r="AH135" s="6">
        <f>N135*'Front page'!$E$3</f>
        <v>0</v>
      </c>
      <c r="AI135" s="6">
        <f>O135*'Front page'!$E$3</f>
        <v>153622.14636616322</v>
      </c>
      <c r="AJ135" s="6">
        <f>P135*'Front page'!$E$3</f>
        <v>15220.121660206049</v>
      </c>
      <c r="AK135" s="6">
        <f>Q135*'Front page'!$E$3</f>
        <v>65019.377789067337</v>
      </c>
      <c r="AL135" s="6">
        <f>S135*'Front page'!$E$3</f>
        <v>0</v>
      </c>
      <c r="AM135" s="5">
        <f>Z135*'Front page'!$E$3</f>
        <v>0</v>
      </c>
      <c r="AN135" s="6">
        <f>T135*'Front page'!$E$3</f>
        <v>3072.4429273232645</v>
      </c>
      <c r="AO135" s="6">
        <f>U135*'Front page'!$E$3</f>
        <v>0</v>
      </c>
      <c r="AP135" s="6">
        <f>W135*'Front page'!$E$3</f>
        <v>742845.6534791562</v>
      </c>
      <c r="AQ135" s="6">
        <f>V135*'Front page'!$E$3</f>
        <v>0</v>
      </c>
      <c r="AR135" s="6">
        <f>X135*'Front page'!$E$3</f>
        <v>0</v>
      </c>
      <c r="AS135" s="6">
        <f t="shared" si="25"/>
        <v>2516001.2058835481</v>
      </c>
      <c r="AT135" s="7">
        <f>IF(AS135&gt;'Funding Comparison'!D135*(1+'Front page'!$H$10),'Funding Comparison'!D135*(1+'Front page'!$H$10),AS135)</f>
        <v>2516001.2058835481</v>
      </c>
    </row>
    <row r="136" spans="1:46" s="27" customFormat="1">
      <c r="A136" s="27" t="str">
        <f t="shared" si="18"/>
        <v>472</v>
      </c>
      <c r="B136" s="27">
        <f t="shared" si="20"/>
        <v>472</v>
      </c>
      <c r="C136" s="15" t="s">
        <v>144</v>
      </c>
      <c r="D136">
        <f>IF(settings!$G$4=0,'Student Enrollment Data'!AX137,'Student Enrollment Data'!CK137)</f>
        <v>171</v>
      </c>
      <c r="E136">
        <f>IF(settings!$G$4=0,'Student Enrollment Data'!AY137,'Student Enrollment Data'!CL137)</f>
        <v>80</v>
      </c>
      <c r="F136">
        <f>IF(settings!$G$4=0,'Student Enrollment Data'!AZ137,'Student Enrollment Data'!CM137)</f>
        <v>0</v>
      </c>
      <c r="G136" s="28">
        <f>'Student Enrollment Data'!BK137</f>
        <v>14</v>
      </c>
      <c r="H136" s="27">
        <f>'Student Enrollment Data'!BF137</f>
        <v>39</v>
      </c>
      <c r="I136">
        <f>SUM('Student Enrollment Data'!R137:X137,'Student Enrollment Data'!AQ137:AW137)</f>
        <v>0</v>
      </c>
      <c r="J136" s="27">
        <f>'Student Enrollment Data'!BS137</f>
        <v>0</v>
      </c>
      <c r="K136">
        <f t="shared" si="21"/>
        <v>17.100000000000001</v>
      </c>
      <c r="L136" s="25"/>
      <c r="M136" s="27">
        <f t="shared" si="19"/>
        <v>171</v>
      </c>
      <c r="N136" s="27">
        <f>E136*'Front page'!$B$20</f>
        <v>8</v>
      </c>
      <c r="O136" s="27">
        <f>F136*'Front page'!$B$21</f>
        <v>0</v>
      </c>
      <c r="P136">
        <f>G136*'Front page'!$B$18</f>
        <v>1.4000000000000001</v>
      </c>
      <c r="Q136" s="27">
        <f>IF(settings!$B$4=0,Calculations!H136,Calculations!I136) *'Front page'!$B$11</f>
        <v>3.9000000000000004</v>
      </c>
      <c r="R136" s="28">
        <f>ROUND(I136*'Front page'!$B$9,2)</f>
        <v>0</v>
      </c>
      <c r="S136" s="27">
        <f>J136*'Front page'!$B$14</f>
        <v>0</v>
      </c>
      <c r="T136" s="81">
        <f>'Front page'!$B$16*Calculations!K136</f>
        <v>0.34200000000000003</v>
      </c>
      <c r="U136" s="81">
        <f>IF(settings!$B$13=0,(Calculations!M136*'Economic Adjustment'!O135)-Calculations!M136,0)</f>
        <v>0</v>
      </c>
      <c r="V136" s="154">
        <f>VLOOKUP(B136,'Remote School Building Weight'!$M$2:$P$174,3,FALSE)</f>
        <v>0</v>
      </c>
      <c r="W136" s="23">
        <f>'Small Dist Weight'!V135-Calculations!D136</f>
        <v>83.034098746081497</v>
      </c>
      <c r="X136" s="23">
        <f>IF(settings!$P$9=0,'Large District Weight'!H135*'Large District Weight'!G135,0)</f>
        <v>0</v>
      </c>
      <c r="Y136" s="23">
        <f t="shared" si="22"/>
        <v>267.67609874608149</v>
      </c>
      <c r="Z136" s="23">
        <f>IF(settings!$F$13=0,'Teacher Exp'!L136,0)</f>
        <v>0</v>
      </c>
      <c r="AA136" s="23">
        <f t="shared" si="23"/>
        <v>267.67609874608149</v>
      </c>
      <c r="AB136" s="25"/>
      <c r="AC136" s="24">
        <f>'Student Enrollment Data'!BU137</f>
        <v>12</v>
      </c>
      <c r="AD136" s="24">
        <f t="shared" si="24"/>
        <v>17.100000000000001</v>
      </c>
      <c r="AE136" s="24">
        <f>AD136*'Front page'!$B$16</f>
        <v>0.34200000000000003</v>
      </c>
      <c r="AG136" s="6">
        <f>M136*'Front page'!$E$3</f>
        <v>839561.54964362399</v>
      </c>
      <c r="AH136" s="6">
        <f>N136*'Front page'!$E$3</f>
        <v>39277.733316660771</v>
      </c>
      <c r="AI136" s="6">
        <f>O136*'Front page'!$E$3</f>
        <v>0</v>
      </c>
      <c r="AJ136" s="6">
        <f>P136*'Front page'!$E$3</f>
        <v>6873.6033304156354</v>
      </c>
      <c r="AK136" s="6">
        <f>Q136*'Front page'!$E$3</f>
        <v>19147.894991872126</v>
      </c>
      <c r="AL136" s="6">
        <f>S136*'Front page'!$E$3</f>
        <v>0</v>
      </c>
      <c r="AM136" s="5">
        <f>Z136*'Front page'!$E$3</f>
        <v>0</v>
      </c>
      <c r="AN136" s="6">
        <f>T136*'Front page'!$E$3</f>
        <v>1679.1230992872481</v>
      </c>
      <c r="AO136" s="6">
        <f>U136*'Front page'!$E$3</f>
        <v>0</v>
      </c>
      <c r="AP136" s="6">
        <f>W136*'Front page'!$E$3</f>
        <v>407673.89834223321</v>
      </c>
      <c r="AQ136" s="6">
        <f>V136*'Front page'!$E$3</f>
        <v>0</v>
      </c>
      <c r="AR136" s="6">
        <f>X136*'Front page'!$E$3</f>
        <v>0</v>
      </c>
      <c r="AS136" s="6">
        <f t="shared" si="25"/>
        <v>1314213.802724093</v>
      </c>
      <c r="AT136" s="7">
        <f>IF(AS136&gt;'Funding Comparison'!D136*(1+'Front page'!$H$10),'Funding Comparison'!D136*(1+'Front page'!$H$10),AS136)</f>
        <v>1314213.802724093</v>
      </c>
    </row>
    <row r="137" spans="1:46" s="27" customFormat="1">
      <c r="A137" s="27" t="str">
        <f t="shared" si="18"/>
        <v>473</v>
      </c>
      <c r="B137" s="27">
        <f t="shared" si="20"/>
        <v>473</v>
      </c>
      <c r="C137" s="15" t="s">
        <v>145</v>
      </c>
      <c r="D137">
        <f>IF(settings!$G$4=0,'Student Enrollment Data'!AX138,'Student Enrollment Data'!CK138)</f>
        <v>460.5</v>
      </c>
      <c r="E137">
        <f>IF(settings!$G$4=0,'Student Enrollment Data'!AY138,'Student Enrollment Data'!CL138)</f>
        <v>182.5</v>
      </c>
      <c r="F137">
        <f>IF(settings!$G$4=0,'Student Enrollment Data'!AZ138,'Student Enrollment Data'!CM138)</f>
        <v>0</v>
      </c>
      <c r="G137" s="28">
        <f>'Student Enrollment Data'!BK138</f>
        <v>66</v>
      </c>
      <c r="H137" s="27">
        <f>'Student Enrollment Data'!BF138</f>
        <v>209.82</v>
      </c>
      <c r="I137">
        <f>SUM('Student Enrollment Data'!R138:X138,'Student Enrollment Data'!AQ138:AW138)</f>
        <v>0</v>
      </c>
      <c r="J137" s="27">
        <f>'Student Enrollment Data'!BS138</f>
        <v>0</v>
      </c>
      <c r="K137">
        <f t="shared" si="21"/>
        <v>46.050000000000004</v>
      </c>
      <c r="L137" s="25"/>
      <c r="M137" s="27">
        <f t="shared" si="19"/>
        <v>460.5</v>
      </c>
      <c r="N137" s="27">
        <f>E137*'Front page'!$B$20</f>
        <v>18.25</v>
      </c>
      <c r="O137" s="27">
        <f>F137*'Front page'!$B$21</f>
        <v>0</v>
      </c>
      <c r="P137">
        <f>G137*'Front page'!$B$18</f>
        <v>6.6000000000000005</v>
      </c>
      <c r="Q137" s="27">
        <f>IF(settings!$B$4=0,Calculations!H137,Calculations!I137) *'Front page'!$B$11</f>
        <v>20.981999999999999</v>
      </c>
      <c r="R137" s="28">
        <f>ROUND(I137*'Front page'!$B$9,2)</f>
        <v>0</v>
      </c>
      <c r="S137" s="27">
        <f>J137*'Front page'!$B$14</f>
        <v>0</v>
      </c>
      <c r="T137" s="81">
        <f>'Front page'!$B$16*Calculations!K137</f>
        <v>0.92100000000000015</v>
      </c>
      <c r="U137" s="81">
        <f>IF(settings!$B$13=0,(Calculations!M137*'Economic Adjustment'!O136)-Calculations!M137,0)</f>
        <v>0</v>
      </c>
      <c r="V137" s="154">
        <f>VLOOKUP(B137,'Remote School Building Weight'!$M$2:$P$174,3,FALSE)</f>
        <v>0</v>
      </c>
      <c r="W137" s="23">
        <f>'Small Dist Weight'!V136-Calculations!D137</f>
        <v>89.619310344827568</v>
      </c>
      <c r="X137" s="23">
        <f>IF(settings!$P$9=0,'Large District Weight'!H136*'Large District Weight'!G136,0)</f>
        <v>0</v>
      </c>
      <c r="Y137" s="23">
        <f t="shared" si="22"/>
        <v>596.87231034482761</v>
      </c>
      <c r="Z137" s="23">
        <f>IF(settings!$F$13=0,'Teacher Exp'!L137,0)</f>
        <v>0</v>
      </c>
      <c r="AA137" s="23">
        <f t="shared" si="23"/>
        <v>596.87231034482761</v>
      </c>
      <c r="AB137" s="25"/>
      <c r="AC137" s="24">
        <f>'Student Enrollment Data'!BU138</f>
        <v>0</v>
      </c>
      <c r="AD137" s="24">
        <f t="shared" si="24"/>
        <v>46.050000000000004</v>
      </c>
      <c r="AE137" s="24">
        <f>AD137*'Front page'!$B$16</f>
        <v>0.92100000000000015</v>
      </c>
      <c r="AG137" s="6">
        <f>M137*'Front page'!$E$3</f>
        <v>2260924.5240402855</v>
      </c>
      <c r="AH137" s="6">
        <f>N137*'Front page'!$E$3</f>
        <v>89602.32912863238</v>
      </c>
      <c r="AI137" s="6">
        <f>O137*'Front page'!$E$3</f>
        <v>0</v>
      </c>
      <c r="AJ137" s="6">
        <f>P137*'Front page'!$E$3</f>
        <v>32404.129986245138</v>
      </c>
      <c r="AK137" s="6">
        <f>Q137*'Front page'!$E$3</f>
        <v>103015.67505627204</v>
      </c>
      <c r="AL137" s="6">
        <f>S137*'Front page'!$E$3</f>
        <v>0</v>
      </c>
      <c r="AM137" s="5">
        <f>Z137*'Front page'!$E$3</f>
        <v>0</v>
      </c>
      <c r="AN137" s="6">
        <f>T137*'Front page'!$E$3</f>
        <v>4521.8490480805722</v>
      </c>
      <c r="AO137" s="6">
        <f>U137*'Front page'!$E$3</f>
        <v>0</v>
      </c>
      <c r="AP137" s="6">
        <f>W137*'Front page'!$E$3</f>
        <v>440005.42146839941</v>
      </c>
      <c r="AQ137" s="6">
        <f>V137*'Front page'!$E$3</f>
        <v>0</v>
      </c>
      <c r="AR137" s="6">
        <f>X137*'Front page'!$E$3</f>
        <v>0</v>
      </c>
      <c r="AS137" s="6">
        <f t="shared" si="25"/>
        <v>2930473.928727915</v>
      </c>
      <c r="AT137" s="7">
        <f>IF(AS137&gt;'Funding Comparison'!D137*(1+'Front page'!$H$10),'Funding Comparison'!D137*(1+'Front page'!$H$10),AS137)</f>
        <v>2930473.928727915</v>
      </c>
    </row>
    <row r="138" spans="1:46" s="27" customFormat="1">
      <c r="A138" s="27" t="str">
        <f t="shared" si="18"/>
        <v>474</v>
      </c>
      <c r="B138" s="27">
        <f t="shared" si="20"/>
        <v>474</v>
      </c>
      <c r="C138" s="15" t="s">
        <v>146</v>
      </c>
      <c r="D138">
        <f>IF(settings!$G$4=0,'Student Enrollment Data'!AX139,'Student Enrollment Data'!CK139)</f>
        <v>213.5</v>
      </c>
      <c r="E138">
        <f>IF(settings!$G$4=0,'Student Enrollment Data'!AY139,'Student Enrollment Data'!CL139)</f>
        <v>119.5</v>
      </c>
      <c r="F138">
        <f>IF(settings!$G$4=0,'Student Enrollment Data'!AZ139,'Student Enrollment Data'!CM139)</f>
        <v>0</v>
      </c>
      <c r="G138" s="28">
        <f>'Student Enrollment Data'!BK139</f>
        <v>20</v>
      </c>
      <c r="H138" s="27">
        <f>'Student Enrollment Data'!BF139</f>
        <v>99.32</v>
      </c>
      <c r="I138">
        <f>SUM('Student Enrollment Data'!R139:X139,'Student Enrollment Data'!AQ139:AW139)</f>
        <v>0</v>
      </c>
      <c r="J138" s="27">
        <f>'Student Enrollment Data'!BS139</f>
        <v>14.934662727947691</v>
      </c>
      <c r="K138">
        <f t="shared" si="21"/>
        <v>21.35</v>
      </c>
      <c r="L138" s="25"/>
      <c r="M138" s="27">
        <f t="shared" si="19"/>
        <v>213.5</v>
      </c>
      <c r="N138" s="27">
        <f>E138*'Front page'!$B$20</f>
        <v>11.950000000000001</v>
      </c>
      <c r="O138" s="27">
        <f>F138*'Front page'!$B$21</f>
        <v>0</v>
      </c>
      <c r="P138">
        <f>G138*'Front page'!$B$18</f>
        <v>2</v>
      </c>
      <c r="Q138" s="27">
        <f>IF(settings!$B$4=0,Calculations!H138,Calculations!I138) *'Front page'!$B$11</f>
        <v>9.9320000000000004</v>
      </c>
      <c r="R138" s="28">
        <f>ROUND(I138*'Front page'!$B$9,2)</f>
        <v>0</v>
      </c>
      <c r="S138" s="27">
        <f>J138*'Front page'!$B$14</f>
        <v>1.4934662727947692</v>
      </c>
      <c r="T138" s="81">
        <f>'Front page'!$B$16*Calculations!K138</f>
        <v>0.42700000000000005</v>
      </c>
      <c r="U138" s="81">
        <f>IF(settings!$B$13=0,(Calculations!M138*'Economic Adjustment'!O137)-Calculations!M138,0)</f>
        <v>0</v>
      </c>
      <c r="V138" s="154">
        <f>VLOOKUP(B138,'Remote School Building Weight'!$M$2:$P$174,3,FALSE)</f>
        <v>0</v>
      </c>
      <c r="W138" s="23">
        <f>'Small Dist Weight'!V137-Calculations!D138</f>
        <v>60.73255681818182</v>
      </c>
      <c r="X138" s="23">
        <f>IF(settings!$P$9=0,'Large District Weight'!H137*'Large District Weight'!G137,0)</f>
        <v>0</v>
      </c>
      <c r="Y138" s="23">
        <f t="shared" si="22"/>
        <v>300.03502309097655</v>
      </c>
      <c r="Z138" s="23">
        <f>IF(settings!$F$13=0,'Teacher Exp'!L138,0)</f>
        <v>0</v>
      </c>
      <c r="AA138" s="23">
        <f t="shared" si="23"/>
        <v>300.03502309097655</v>
      </c>
      <c r="AB138" s="25"/>
      <c r="AC138" s="24">
        <f>'Student Enrollment Data'!BU139</f>
        <v>8</v>
      </c>
      <c r="AD138" s="24">
        <f t="shared" si="24"/>
        <v>21.35</v>
      </c>
      <c r="AE138" s="24">
        <f>AD138*'Front page'!$B$16</f>
        <v>0.42700000000000005</v>
      </c>
      <c r="AG138" s="6">
        <f>M138*'Front page'!$E$3</f>
        <v>1048224.5078883843</v>
      </c>
      <c r="AH138" s="6">
        <f>N138*'Front page'!$E$3</f>
        <v>58671.114141762031</v>
      </c>
      <c r="AI138" s="6">
        <f>O138*'Front page'!$E$3</f>
        <v>0</v>
      </c>
      <c r="AJ138" s="6">
        <f>P138*'Front page'!$E$3</f>
        <v>9819.4333291651928</v>
      </c>
      <c r="AK138" s="6">
        <f>Q138*'Front page'!$E$3</f>
        <v>48763.305912634351</v>
      </c>
      <c r="AL138" s="6">
        <f>S138*'Front page'!$E$3</f>
        <v>7332.4962475325365</v>
      </c>
      <c r="AM138" s="5">
        <f>Z138*'Front page'!$E$3</f>
        <v>0</v>
      </c>
      <c r="AN138" s="6">
        <f>T138*'Front page'!$E$3</f>
        <v>2096.4490157767691</v>
      </c>
      <c r="AO138" s="6">
        <f>U138*'Front page'!$E$3</f>
        <v>0</v>
      </c>
      <c r="AP138" s="6">
        <f>W138*'Front page'!$E$3</f>
        <v>298179.6462929367</v>
      </c>
      <c r="AQ138" s="6">
        <f>V138*'Front page'!$E$3</f>
        <v>0</v>
      </c>
      <c r="AR138" s="6">
        <f>X138*'Front page'!$E$3</f>
        <v>0</v>
      </c>
      <c r="AS138" s="6">
        <f t="shared" si="25"/>
        <v>1473086.9528281922</v>
      </c>
      <c r="AT138" s="7">
        <f>IF(AS138&gt;'Funding Comparison'!D138*(1+'Front page'!$H$10),'Funding Comparison'!D138*(1+'Front page'!$H$10),AS138)</f>
        <v>1473086.9528281922</v>
      </c>
    </row>
    <row r="139" spans="1:46" s="27" customFormat="1">
      <c r="A139" s="27" t="str">
        <f t="shared" si="18"/>
        <v>475</v>
      </c>
      <c r="B139" s="27">
        <f t="shared" si="20"/>
        <v>475</v>
      </c>
      <c r="C139" s="15" t="s">
        <v>147</v>
      </c>
      <c r="D139">
        <f>IF(settings!$G$4=0,'Student Enrollment Data'!AX140,'Student Enrollment Data'!CK140)</f>
        <v>956.5</v>
      </c>
      <c r="E139">
        <f>IF(settings!$G$4=0,'Student Enrollment Data'!AY140,'Student Enrollment Data'!CL140)</f>
        <v>262.5</v>
      </c>
      <c r="F139">
        <f>IF(settings!$G$4=0,'Student Enrollment Data'!AZ140,'Student Enrollment Data'!CM140)</f>
        <v>239</v>
      </c>
      <c r="G139" s="28">
        <f>'Student Enrollment Data'!BK140</f>
        <v>63</v>
      </c>
      <c r="H139" s="27">
        <f>'Student Enrollment Data'!BF140</f>
        <v>360</v>
      </c>
      <c r="I139">
        <f>SUM('Student Enrollment Data'!R140:X140,'Student Enrollment Data'!AQ140:AW140)</f>
        <v>0</v>
      </c>
      <c r="J139" s="27">
        <f>'Student Enrollment Data'!BS140</f>
        <v>17</v>
      </c>
      <c r="K139">
        <f t="shared" si="21"/>
        <v>95.65</v>
      </c>
      <c r="L139" s="25"/>
      <c r="M139" s="27">
        <f t="shared" si="19"/>
        <v>956.5</v>
      </c>
      <c r="N139" s="27">
        <f>E139*'Front page'!$B$20</f>
        <v>26.25</v>
      </c>
      <c r="O139" s="27">
        <f>F139*'Front page'!$B$21</f>
        <v>23.900000000000002</v>
      </c>
      <c r="P139">
        <f>G139*'Front page'!$B$18</f>
        <v>6.3000000000000007</v>
      </c>
      <c r="Q139" s="27">
        <f>IF(settings!$B$4=0,Calculations!H139,Calculations!I139) *'Front page'!$B$11</f>
        <v>36</v>
      </c>
      <c r="R139" s="28">
        <f>ROUND(I139*'Front page'!$B$9,2)</f>
        <v>0</v>
      </c>
      <c r="S139" s="27">
        <f>J139*'Front page'!$B$14</f>
        <v>1.7000000000000002</v>
      </c>
      <c r="T139" s="81">
        <f>'Front page'!$B$16*Calculations!K139</f>
        <v>1.9130000000000003</v>
      </c>
      <c r="U139" s="81">
        <f>IF(settings!$B$13=0,(Calculations!M139*'Economic Adjustment'!O138)-Calculations!M139,0)</f>
        <v>0</v>
      </c>
      <c r="V139" s="154">
        <f>VLOOKUP(B139,'Remote School Building Weight'!$M$2:$P$174,3,FALSE)</f>
        <v>0</v>
      </c>
      <c r="W139" s="23">
        <f>'Small Dist Weight'!V138-Calculations!D139</f>
        <v>115.23025862068971</v>
      </c>
      <c r="X139" s="23">
        <f>IF(settings!$P$9=0,'Large District Weight'!H138*'Large District Weight'!G138,0)</f>
        <v>0</v>
      </c>
      <c r="Y139" s="23">
        <f t="shared" si="22"/>
        <v>1167.7932586206896</v>
      </c>
      <c r="Z139" s="23">
        <f>IF(settings!$F$13=0,'Teacher Exp'!L139,0)</f>
        <v>0</v>
      </c>
      <c r="AA139" s="23">
        <f t="shared" si="23"/>
        <v>1167.7932586206896</v>
      </c>
      <c r="AB139" s="25"/>
      <c r="AC139" s="24">
        <f>'Student Enrollment Data'!BU140</f>
        <v>0</v>
      </c>
      <c r="AD139" s="24">
        <f t="shared" si="24"/>
        <v>95.65</v>
      </c>
      <c r="AE139" s="24">
        <f>AD139*'Front page'!$B$16</f>
        <v>1.9130000000000003</v>
      </c>
      <c r="AG139" s="6">
        <f>M139*'Front page'!$E$3</f>
        <v>4696143.9896732531</v>
      </c>
      <c r="AH139" s="6">
        <f>N139*'Front page'!$E$3</f>
        <v>128880.06244529315</v>
      </c>
      <c r="AI139" s="6">
        <f>O139*'Front page'!$E$3</f>
        <v>117342.22828352406</v>
      </c>
      <c r="AJ139" s="6">
        <f>P139*'Front page'!$E$3</f>
        <v>30931.21498687036</v>
      </c>
      <c r="AK139" s="6">
        <f>Q139*'Front page'!$E$3</f>
        <v>176749.79992497346</v>
      </c>
      <c r="AL139" s="6">
        <f>S139*'Front page'!$E$3</f>
        <v>8346.518329790415</v>
      </c>
      <c r="AM139" s="5">
        <f>Z139*'Front page'!$E$3</f>
        <v>0</v>
      </c>
      <c r="AN139" s="6">
        <f>T139*'Front page'!$E$3</f>
        <v>9392.287979346509</v>
      </c>
      <c r="AO139" s="6">
        <f>U139*'Front page'!$E$3</f>
        <v>0</v>
      </c>
      <c r="AP139" s="6">
        <f>W139*'Front page'!$E$3</f>
        <v>565747.92101416271</v>
      </c>
      <c r="AQ139" s="6">
        <f>V139*'Front page'!$E$3</f>
        <v>0</v>
      </c>
      <c r="AR139" s="6">
        <f>X139*'Front page'!$E$3</f>
        <v>0</v>
      </c>
      <c r="AS139" s="6">
        <f t="shared" si="25"/>
        <v>5733534.0226372145</v>
      </c>
      <c r="AT139" s="7">
        <f>IF(AS139&gt;'Funding Comparison'!D139*(1+'Front page'!$H$10),'Funding Comparison'!D139*(1+'Front page'!$H$10),AS139)</f>
        <v>5733534.0226372145</v>
      </c>
    </row>
    <row r="140" spans="1:46" s="27" customFormat="1">
      <c r="A140" s="27" t="str">
        <f t="shared" si="18"/>
        <v>476</v>
      </c>
      <c r="B140" s="27">
        <f t="shared" si="20"/>
        <v>476</v>
      </c>
      <c r="C140" s="15" t="s">
        <v>148</v>
      </c>
      <c r="D140">
        <f>IF(settings!$G$4=0,'Student Enrollment Data'!AX141,'Student Enrollment Data'!CK141)</f>
        <v>535.61176470588236</v>
      </c>
      <c r="E140">
        <f>IF(settings!$G$4=0,'Student Enrollment Data'!AY141,'Student Enrollment Data'!CL141)</f>
        <v>57</v>
      </c>
      <c r="F140">
        <f>IF(settings!$G$4=0,'Student Enrollment Data'!AZ141,'Student Enrollment Data'!CM141)</f>
        <v>300.55588235294118</v>
      </c>
      <c r="G140" s="28">
        <f>'Student Enrollment Data'!BK141</f>
        <v>153</v>
      </c>
      <c r="H140" s="27">
        <f>'Student Enrollment Data'!BF141</f>
        <v>133</v>
      </c>
      <c r="I140">
        <f>SUM('Student Enrollment Data'!R141:X141,'Student Enrollment Data'!AQ141:AW141)</f>
        <v>34.447058823529417</v>
      </c>
      <c r="J140" s="27">
        <f>'Student Enrollment Data'!BS141</f>
        <v>7</v>
      </c>
      <c r="K140">
        <f t="shared" si="21"/>
        <v>53.561176470588236</v>
      </c>
      <c r="L140" s="25"/>
      <c r="M140" s="27">
        <f t="shared" si="19"/>
        <v>535.61176470588236</v>
      </c>
      <c r="N140" s="27">
        <f>E140*'Front page'!$B$20</f>
        <v>5.7</v>
      </c>
      <c r="O140" s="27">
        <f>F140*'Front page'!$B$21</f>
        <v>30.05558823529412</v>
      </c>
      <c r="P140">
        <f>G140*'Front page'!$B$18</f>
        <v>15.3</v>
      </c>
      <c r="Q140" s="27">
        <f>IF(settings!$B$4=0,Calculations!H140,Calculations!I140) *'Front page'!$B$11</f>
        <v>13.3</v>
      </c>
      <c r="R140" s="28">
        <f>ROUND(I140*'Front page'!$B$9,2)</f>
        <v>0</v>
      </c>
      <c r="S140" s="27">
        <f>J140*'Front page'!$B$14</f>
        <v>0.70000000000000007</v>
      </c>
      <c r="T140" s="81">
        <f>'Front page'!$B$16*Calculations!K140</f>
        <v>1.0712235294117647</v>
      </c>
      <c r="U140" s="81">
        <f>IF(settings!$B$13=0,(Calculations!M140*'Economic Adjustment'!O139)-Calculations!M140,0)</f>
        <v>0</v>
      </c>
      <c r="V140" s="154">
        <f>VLOOKUP(B140,'Remote School Building Weight'!$M$2:$P$174,3,FALSE)</f>
        <v>0</v>
      </c>
      <c r="W140" s="23">
        <f>'Small Dist Weight'!V139-Calculations!D140</f>
        <v>180.95853554143025</v>
      </c>
      <c r="X140" s="23">
        <f>IF(settings!$P$9=0,'Large District Weight'!H139*'Large District Weight'!G139,0)</f>
        <v>0</v>
      </c>
      <c r="Y140" s="23">
        <f t="shared" si="22"/>
        <v>782.69711201201847</v>
      </c>
      <c r="Z140" s="23">
        <f>IF(settings!$F$13=0,'Teacher Exp'!L140,0)</f>
        <v>0</v>
      </c>
      <c r="AA140" s="23">
        <f t="shared" si="23"/>
        <v>782.69711201201847</v>
      </c>
      <c r="AB140" s="25"/>
      <c r="AC140" s="24">
        <f>'Student Enrollment Data'!BU141</f>
        <v>0</v>
      </c>
      <c r="AD140" s="24">
        <f t="shared" si="24"/>
        <v>53.561176470588236</v>
      </c>
      <c r="AE140" s="24">
        <f>AD140*'Front page'!$B$16</f>
        <v>1.0712235294117647</v>
      </c>
      <c r="AG140" s="6">
        <f>M140*'Front page'!$E$3</f>
        <v>2629702.0069229631</v>
      </c>
      <c r="AH140" s="6">
        <f>N140*'Front page'!$E$3</f>
        <v>27985.384988120801</v>
      </c>
      <c r="AI140" s="6">
        <f>O140*'Front page'!$E$3</f>
        <v>147564.42242265618</v>
      </c>
      <c r="AJ140" s="6">
        <f>P140*'Front page'!$E$3</f>
        <v>75118.664968113735</v>
      </c>
      <c r="AK140" s="6">
        <f>Q140*'Front page'!$E$3</f>
        <v>65299.231638948535</v>
      </c>
      <c r="AL140" s="6">
        <f>S140*'Front page'!$E$3</f>
        <v>3436.8016652078177</v>
      </c>
      <c r="AM140" s="5">
        <f>Z140*'Front page'!$E$3</f>
        <v>0</v>
      </c>
      <c r="AN140" s="6">
        <f>T140*'Front page'!$E$3</f>
        <v>5259.4040138459259</v>
      </c>
      <c r="AO140" s="6">
        <f>U140*'Front page'!$E$3</f>
        <v>0</v>
      </c>
      <c r="AP140" s="6">
        <f>W140*'Front page'!$E$3</f>
        <v>888455.13754622219</v>
      </c>
      <c r="AQ140" s="6">
        <f>V140*'Front page'!$E$3</f>
        <v>0</v>
      </c>
      <c r="AR140" s="6">
        <f>X140*'Front page'!$E$3</f>
        <v>0</v>
      </c>
      <c r="AS140" s="6">
        <f t="shared" si="25"/>
        <v>3842821.0541660786</v>
      </c>
      <c r="AT140" s="7">
        <f>IF(AS140&gt;'Funding Comparison'!D140*(1+'Front page'!$H$10),'Funding Comparison'!D140*(1+'Front page'!$H$10),AS140)</f>
        <v>3842821.0541660786</v>
      </c>
    </row>
    <row r="141" spans="1:46" s="27" customFormat="1" ht="29.25">
      <c r="A141" s="27" t="str">
        <f t="shared" si="18"/>
        <v>477</v>
      </c>
      <c r="B141" s="27">
        <f t="shared" si="20"/>
        <v>477</v>
      </c>
      <c r="C141" s="15" t="s">
        <v>149</v>
      </c>
      <c r="D141">
        <f>IF(settings!$G$4=0,'Student Enrollment Data'!AX142,'Student Enrollment Data'!CK142)</f>
        <v>591</v>
      </c>
      <c r="E141">
        <f>IF(settings!$G$4=0,'Student Enrollment Data'!AY142,'Student Enrollment Data'!CL142)</f>
        <v>314</v>
      </c>
      <c r="F141">
        <f>IF(settings!$G$4=0,'Student Enrollment Data'!AZ142,'Student Enrollment Data'!CM142)</f>
        <v>0</v>
      </c>
      <c r="G141" s="28">
        <f>'Student Enrollment Data'!BK142</f>
        <v>58</v>
      </c>
      <c r="H141" s="27">
        <f>'Student Enrollment Data'!BF142</f>
        <v>280</v>
      </c>
      <c r="I141">
        <f>SUM('Student Enrollment Data'!R142:X142,'Student Enrollment Data'!AQ142:AW142)</f>
        <v>0</v>
      </c>
      <c r="J141" s="27">
        <f>'Student Enrollment Data'!BS142</f>
        <v>16</v>
      </c>
      <c r="K141">
        <f t="shared" si="21"/>
        <v>59.1</v>
      </c>
      <c r="L141" s="25"/>
      <c r="M141" s="27">
        <f t="shared" si="19"/>
        <v>591</v>
      </c>
      <c r="N141" s="27">
        <f>E141*'Front page'!$B$20</f>
        <v>31.400000000000002</v>
      </c>
      <c r="O141" s="27">
        <f>F141*'Front page'!$B$21</f>
        <v>0</v>
      </c>
      <c r="P141">
        <f>G141*'Front page'!$B$18</f>
        <v>5.8000000000000007</v>
      </c>
      <c r="Q141" s="27">
        <f>IF(settings!$B$4=0,Calculations!H141,Calculations!I141) *'Front page'!$B$11</f>
        <v>28</v>
      </c>
      <c r="R141" s="28">
        <f>ROUND(I141*'Front page'!$B$9,2)</f>
        <v>0</v>
      </c>
      <c r="S141" s="27">
        <f>J141*'Front page'!$B$14</f>
        <v>1.6</v>
      </c>
      <c r="T141" s="81">
        <f>'Front page'!$B$16*Calculations!K141</f>
        <v>1.1820000000000002</v>
      </c>
      <c r="U141" s="81">
        <f>IF(settings!$B$13=0,(Calculations!M141*'Economic Adjustment'!O140)-Calculations!M141,0)</f>
        <v>0</v>
      </c>
      <c r="V141" s="154">
        <f>VLOOKUP(B141,'Remote School Building Weight'!$M$2:$P$174,3,FALSE)</f>
        <v>0</v>
      </c>
      <c r="W141" s="23">
        <f>'Small Dist Weight'!V140-Calculations!D141</f>
        <v>86.896551724137908</v>
      </c>
      <c r="X141" s="23">
        <f>IF(settings!$P$9=0,'Large District Weight'!H140*'Large District Weight'!G140,0)</f>
        <v>0</v>
      </c>
      <c r="Y141" s="23">
        <f t="shared" si="22"/>
        <v>745.87855172413788</v>
      </c>
      <c r="Z141" s="23">
        <f>IF(settings!$F$13=0,'Teacher Exp'!L141,0)</f>
        <v>0</v>
      </c>
      <c r="AA141" s="23">
        <f t="shared" si="23"/>
        <v>745.87855172413788</v>
      </c>
      <c r="AB141" s="25"/>
      <c r="AC141" s="24">
        <f>'Student Enrollment Data'!BU142</f>
        <v>29</v>
      </c>
      <c r="AD141" s="24">
        <f t="shared" si="24"/>
        <v>59.1</v>
      </c>
      <c r="AE141" s="24">
        <f>AD141*'Front page'!$B$16</f>
        <v>1.1820000000000002</v>
      </c>
      <c r="AG141" s="6">
        <f>M141*'Front page'!$E$3</f>
        <v>2901642.5487683145</v>
      </c>
      <c r="AH141" s="6">
        <f>N141*'Front page'!$E$3</f>
        <v>154165.10326789354</v>
      </c>
      <c r="AI141" s="6">
        <f>O141*'Front page'!$E$3</f>
        <v>0</v>
      </c>
      <c r="AJ141" s="6">
        <f>P141*'Front page'!$E$3</f>
        <v>28476.356654579064</v>
      </c>
      <c r="AK141" s="6">
        <f>Q141*'Front page'!$E$3</f>
        <v>137472.06660831271</v>
      </c>
      <c r="AL141" s="6">
        <f>S141*'Front page'!$E$3</f>
        <v>7855.5466633321548</v>
      </c>
      <c r="AM141" s="5">
        <f>Z141*'Front page'!$E$3</f>
        <v>0</v>
      </c>
      <c r="AN141" s="6">
        <f>T141*'Front page'!$E$3</f>
        <v>5803.28509753663</v>
      </c>
      <c r="AO141" s="6">
        <f>U141*'Front page'!$E$3</f>
        <v>0</v>
      </c>
      <c r="AP141" s="6">
        <f>W141*'Front page'!$E$3</f>
        <v>426637.44809476344</v>
      </c>
      <c r="AQ141" s="6">
        <f>V141*'Front page'!$E$3</f>
        <v>0</v>
      </c>
      <c r="AR141" s="6">
        <f>X141*'Front page'!$E$3</f>
        <v>0</v>
      </c>
      <c r="AS141" s="6">
        <f t="shared" si="25"/>
        <v>3662052.3551547322</v>
      </c>
      <c r="AT141" s="7">
        <f>IF(AS141&gt;'Funding Comparison'!D141*(1+'Front page'!$H$10),'Funding Comparison'!D141*(1+'Front page'!$H$10),AS141)</f>
        <v>3662052.3551547322</v>
      </c>
    </row>
    <row r="142" spans="1:46" s="27" customFormat="1">
      <c r="A142" s="27" t="str">
        <f t="shared" si="18"/>
        <v>478</v>
      </c>
      <c r="B142" s="27">
        <f t="shared" si="20"/>
        <v>478</v>
      </c>
      <c r="C142" s="15" t="s">
        <v>150</v>
      </c>
      <c r="D142">
        <f>IF(settings!$G$4=0,'Student Enrollment Data'!AX143,'Student Enrollment Data'!CK143)</f>
        <v>287</v>
      </c>
      <c r="E142">
        <f>IF(settings!$G$4=0,'Student Enrollment Data'!AY143,'Student Enrollment Data'!CL143)</f>
        <v>100</v>
      </c>
      <c r="F142">
        <f>IF(settings!$G$4=0,'Student Enrollment Data'!AZ143,'Student Enrollment Data'!CM143)</f>
        <v>0</v>
      </c>
      <c r="G142" s="28">
        <f>'Student Enrollment Data'!BK143</f>
        <v>23</v>
      </c>
      <c r="H142" s="27">
        <f>'Student Enrollment Data'!BF143</f>
        <v>108</v>
      </c>
      <c r="I142">
        <f>SUM('Student Enrollment Data'!R143:X143,'Student Enrollment Data'!AQ143:AW143)</f>
        <v>0</v>
      </c>
      <c r="J142" s="27">
        <f>'Student Enrollment Data'!BS143</f>
        <v>0</v>
      </c>
      <c r="K142">
        <f t="shared" si="21"/>
        <v>28.700000000000003</v>
      </c>
      <c r="L142" s="25"/>
      <c r="M142" s="27">
        <f t="shared" si="19"/>
        <v>287</v>
      </c>
      <c r="N142" s="27">
        <f>E142*'Front page'!$B$20</f>
        <v>10</v>
      </c>
      <c r="O142" s="27">
        <f>F142*'Front page'!$B$21</f>
        <v>0</v>
      </c>
      <c r="P142">
        <f>G142*'Front page'!$B$18</f>
        <v>2.3000000000000003</v>
      </c>
      <c r="Q142" s="27">
        <f>IF(settings!$B$4=0,Calculations!H142,Calculations!I142) *'Front page'!$B$11</f>
        <v>10.8</v>
      </c>
      <c r="R142" s="28">
        <f>ROUND(I142*'Front page'!$B$9,2)</f>
        <v>0</v>
      </c>
      <c r="S142" s="27">
        <f>J142*'Front page'!$B$14</f>
        <v>0</v>
      </c>
      <c r="T142" s="81">
        <f>'Front page'!$B$16*Calculations!K142</f>
        <v>0.57400000000000007</v>
      </c>
      <c r="U142" s="81">
        <f>IF(settings!$B$13=0,(Calculations!M142*'Economic Adjustment'!O141)-Calculations!M142,0)</f>
        <v>0</v>
      </c>
      <c r="V142" s="154">
        <f>VLOOKUP(B142,'Remote School Building Weight'!$M$2:$P$174,3,FALSE)</f>
        <v>0</v>
      </c>
      <c r="W142" s="23">
        <f>'Small Dist Weight'!V141-Calculations!D142</f>
        <v>106.49539968652039</v>
      </c>
      <c r="X142" s="23">
        <f>IF(settings!$P$9=0,'Large District Weight'!H141*'Large District Weight'!G141,0)</f>
        <v>0</v>
      </c>
      <c r="Y142" s="23">
        <f t="shared" si="22"/>
        <v>417.16939968652042</v>
      </c>
      <c r="Z142" s="23">
        <f>IF(settings!$F$13=0,'Teacher Exp'!L142,0)</f>
        <v>0</v>
      </c>
      <c r="AA142" s="23">
        <f t="shared" si="23"/>
        <v>417.16939968652042</v>
      </c>
      <c r="AB142" s="25"/>
      <c r="AC142" s="24">
        <f>'Student Enrollment Data'!BU143</f>
        <v>0</v>
      </c>
      <c r="AD142" s="24">
        <f t="shared" si="24"/>
        <v>28.700000000000003</v>
      </c>
      <c r="AE142" s="24">
        <f>AD142*'Front page'!$B$16</f>
        <v>0.57400000000000007</v>
      </c>
      <c r="AG142" s="6">
        <f>M142*'Front page'!$E$3</f>
        <v>1409088.6827352052</v>
      </c>
      <c r="AH142" s="6">
        <f>N142*'Front page'!$E$3</f>
        <v>49097.166645825964</v>
      </c>
      <c r="AI142" s="6">
        <f>O142*'Front page'!$E$3</f>
        <v>0</v>
      </c>
      <c r="AJ142" s="6">
        <f>P142*'Front page'!$E$3</f>
        <v>11292.348328539972</v>
      </c>
      <c r="AK142" s="6">
        <f>Q142*'Front page'!$E$3</f>
        <v>53024.939977492046</v>
      </c>
      <c r="AL142" s="6">
        <f>S142*'Front page'!$E$3</f>
        <v>0</v>
      </c>
      <c r="AM142" s="5">
        <f>Z142*'Front page'!$E$3</f>
        <v>0</v>
      </c>
      <c r="AN142" s="6">
        <f>T142*'Front page'!$E$3</f>
        <v>2818.1773654704107</v>
      </c>
      <c r="AO142" s="6">
        <f>U142*'Front page'!$E$3</f>
        <v>0</v>
      </c>
      <c r="AP142" s="6">
        <f>W142*'Front page'!$E$3</f>
        <v>522862.23854229337</v>
      </c>
      <c r="AQ142" s="6">
        <f>V142*'Front page'!$E$3</f>
        <v>0</v>
      </c>
      <c r="AR142" s="6">
        <f>X142*'Front page'!$E$3</f>
        <v>0</v>
      </c>
      <c r="AS142" s="6">
        <f t="shared" si="25"/>
        <v>2048183.553594827</v>
      </c>
      <c r="AT142" s="7">
        <f>IF(AS142&gt;'Funding Comparison'!D142*(1+'Front page'!$H$10),'Funding Comparison'!D142*(1+'Front page'!$H$10),AS142)</f>
        <v>2048183.553594827</v>
      </c>
    </row>
    <row r="143" spans="1:46" s="27" customFormat="1">
      <c r="A143" s="27" t="str">
        <f t="shared" si="18"/>
        <v>479</v>
      </c>
      <c r="B143" s="27">
        <f t="shared" si="20"/>
        <v>479</v>
      </c>
      <c r="C143" s="15" t="s">
        <v>151</v>
      </c>
      <c r="D143">
        <f>IF(settings!$G$4=0,'Student Enrollment Data'!AX144,'Student Enrollment Data'!CK144)</f>
        <v>161</v>
      </c>
      <c r="E143">
        <f>IF(settings!$G$4=0,'Student Enrollment Data'!AY144,'Student Enrollment Data'!CL144)</f>
        <v>57</v>
      </c>
      <c r="F143">
        <f>IF(settings!$G$4=0,'Student Enrollment Data'!AZ144,'Student Enrollment Data'!CM144)</f>
        <v>0</v>
      </c>
      <c r="G143" s="28">
        <f>'Student Enrollment Data'!BK144</f>
        <v>29</v>
      </c>
      <c r="H143" s="27">
        <f>'Student Enrollment Data'!BF144</f>
        <v>73.95</v>
      </c>
      <c r="I143">
        <f>SUM('Student Enrollment Data'!R144:X144,'Student Enrollment Data'!AQ144:AW144)</f>
        <v>0</v>
      </c>
      <c r="J143" s="27">
        <f>'Student Enrollment Data'!BS144</f>
        <v>12.452381265529278</v>
      </c>
      <c r="K143">
        <f t="shared" si="21"/>
        <v>16.100000000000001</v>
      </c>
      <c r="L143" s="25"/>
      <c r="M143" s="27">
        <f t="shared" si="19"/>
        <v>161</v>
      </c>
      <c r="N143" s="27">
        <f>E143*'Front page'!$B$20</f>
        <v>5.7</v>
      </c>
      <c r="O143" s="27">
        <f>F143*'Front page'!$B$21</f>
        <v>0</v>
      </c>
      <c r="P143">
        <f>G143*'Front page'!$B$18</f>
        <v>2.9000000000000004</v>
      </c>
      <c r="Q143" s="27">
        <f>IF(settings!$B$4=0,Calculations!H143,Calculations!I143) *'Front page'!$B$11</f>
        <v>7.3950000000000005</v>
      </c>
      <c r="R143" s="28">
        <f>ROUND(I143*'Front page'!$B$9,2)</f>
        <v>0</v>
      </c>
      <c r="S143" s="27">
        <f>J143*'Front page'!$B$14</f>
        <v>1.2452381265529278</v>
      </c>
      <c r="T143" s="81">
        <f>'Front page'!$B$16*Calculations!K143</f>
        <v>0.32200000000000001</v>
      </c>
      <c r="U143" s="81">
        <f>IF(settings!$B$13=0,(Calculations!M143*'Economic Adjustment'!O142)-Calculations!M143,0)</f>
        <v>0</v>
      </c>
      <c r="V143" s="154">
        <f>VLOOKUP(B143,'Remote School Building Weight'!$M$2:$P$174,3,FALSE)</f>
        <v>0</v>
      </c>
      <c r="W143" s="23">
        <f>'Small Dist Weight'!V142-Calculations!D143</f>
        <v>105.71936520376175</v>
      </c>
      <c r="X143" s="23">
        <f>IF(settings!$P$9=0,'Large District Weight'!H142*'Large District Weight'!G142,0)</f>
        <v>0</v>
      </c>
      <c r="Y143" s="23">
        <f t="shared" si="22"/>
        <v>284.28160333031468</v>
      </c>
      <c r="Z143" s="23">
        <f>IF(settings!$F$13=0,'Teacher Exp'!L143,0)</f>
        <v>0</v>
      </c>
      <c r="AA143" s="23">
        <f t="shared" si="23"/>
        <v>284.28160333031468</v>
      </c>
      <c r="AB143" s="25"/>
      <c r="AC143" s="24">
        <f>'Student Enrollment Data'!BU144</f>
        <v>18</v>
      </c>
      <c r="AD143" s="24">
        <f t="shared" si="24"/>
        <v>16.100000000000001</v>
      </c>
      <c r="AE143" s="24">
        <f>AD143*'Front page'!$B$16</f>
        <v>0.32200000000000001</v>
      </c>
      <c r="AG143" s="6">
        <f>M143*'Front page'!$E$3</f>
        <v>790464.38299779803</v>
      </c>
      <c r="AH143" s="6">
        <f>N143*'Front page'!$E$3</f>
        <v>27985.384988120801</v>
      </c>
      <c r="AI143" s="6">
        <f>O143*'Front page'!$E$3</f>
        <v>0</v>
      </c>
      <c r="AJ143" s="6">
        <f>P143*'Front page'!$E$3</f>
        <v>14238.178327289532</v>
      </c>
      <c r="AK143" s="6">
        <f>Q143*'Front page'!$E$3</f>
        <v>36307.354734588305</v>
      </c>
      <c r="AL143" s="6">
        <f>S143*'Front page'!$E$3</f>
        <v>6113.7663813105219</v>
      </c>
      <c r="AM143" s="5">
        <f>Z143*'Front page'!$E$3</f>
        <v>0</v>
      </c>
      <c r="AN143" s="6">
        <f>T143*'Front page'!$E$3</f>
        <v>1580.928765995596</v>
      </c>
      <c r="AO143" s="6">
        <f>U143*'Front page'!$E$3</f>
        <v>0</v>
      </c>
      <c r="AP143" s="6">
        <f>W143*'Front page'!$E$3</f>
        <v>519052.12911000254</v>
      </c>
      <c r="AQ143" s="6">
        <f>V143*'Front page'!$E$3</f>
        <v>0</v>
      </c>
      <c r="AR143" s="6">
        <f>X143*'Front page'!$E$3</f>
        <v>0</v>
      </c>
      <c r="AS143" s="6">
        <f t="shared" si="25"/>
        <v>1395742.1253051052</v>
      </c>
      <c r="AT143" s="7">
        <f>IF(AS143&gt;'Funding Comparison'!D143*(1+'Front page'!$H$10),'Funding Comparison'!D143*(1+'Front page'!$H$10),AS143)</f>
        <v>1395742.1253051052</v>
      </c>
    </row>
    <row r="144" spans="1:46" s="27" customFormat="1">
      <c r="A144" s="27" t="str">
        <f t="shared" si="18"/>
        <v>480</v>
      </c>
      <c r="B144" s="27">
        <f t="shared" si="20"/>
        <v>480</v>
      </c>
      <c r="C144" s="15" t="s">
        <v>152</v>
      </c>
      <c r="D144">
        <f>IF(settings!$G$4=0,'Student Enrollment Data'!AX145,'Student Enrollment Data'!CK145)</f>
        <v>504.5</v>
      </c>
      <c r="E144">
        <f>IF(settings!$G$4=0,'Student Enrollment Data'!AY145,'Student Enrollment Data'!CL145)</f>
        <v>180.5</v>
      </c>
      <c r="F144">
        <f>IF(settings!$G$4=0,'Student Enrollment Data'!AZ145,'Student Enrollment Data'!CM145)</f>
        <v>52</v>
      </c>
      <c r="G144" s="28">
        <f>'Student Enrollment Data'!BK145</f>
        <v>9</v>
      </c>
      <c r="H144" s="27">
        <f>'Student Enrollment Data'!BF145</f>
        <v>159</v>
      </c>
      <c r="I144">
        <f>SUM('Student Enrollment Data'!R145:X145,'Student Enrollment Data'!AQ145:AW145)</f>
        <v>0</v>
      </c>
      <c r="J144" s="27">
        <f>'Student Enrollment Data'!BS145</f>
        <v>0</v>
      </c>
      <c r="K144">
        <f t="shared" si="21"/>
        <v>50.45</v>
      </c>
      <c r="L144" s="25"/>
      <c r="M144" s="27">
        <f t="shared" si="19"/>
        <v>504.5</v>
      </c>
      <c r="N144" s="27">
        <f>E144*'Front page'!$B$20</f>
        <v>18.05</v>
      </c>
      <c r="O144" s="27">
        <f>F144*'Front page'!$B$21</f>
        <v>5.2</v>
      </c>
      <c r="P144">
        <f>G144*'Front page'!$B$18</f>
        <v>0.9</v>
      </c>
      <c r="Q144" s="27">
        <f>IF(settings!$B$4=0,Calculations!H144,Calculations!I144) *'Front page'!$B$11</f>
        <v>15.9</v>
      </c>
      <c r="R144" s="28">
        <f>ROUND(I144*'Front page'!$B$9,2)</f>
        <v>0</v>
      </c>
      <c r="S144" s="27">
        <f>J144*'Front page'!$B$14</f>
        <v>0</v>
      </c>
      <c r="T144" s="81">
        <f>'Front page'!$B$16*Calculations!K144</f>
        <v>1.0090000000000001</v>
      </c>
      <c r="U144" s="81">
        <f>IF(settings!$B$13=0,(Calculations!M144*'Economic Adjustment'!O143)-Calculations!M144,0)</f>
        <v>0</v>
      </c>
      <c r="V144" s="154">
        <f>VLOOKUP(B144,'Remote School Building Weight'!$M$2:$P$174,3,FALSE)</f>
        <v>0</v>
      </c>
      <c r="W144" s="23">
        <f>'Small Dist Weight'!V143-Calculations!D144</f>
        <v>114.1875</v>
      </c>
      <c r="X144" s="23">
        <f>IF(settings!$P$9=0,'Large District Weight'!H143*'Large District Weight'!G143,0)</f>
        <v>0</v>
      </c>
      <c r="Y144" s="23">
        <f t="shared" si="22"/>
        <v>659.74649999999997</v>
      </c>
      <c r="Z144" s="23">
        <f>IF(settings!$F$13=0,'Teacher Exp'!L144,0)</f>
        <v>0</v>
      </c>
      <c r="AA144" s="23">
        <f t="shared" si="23"/>
        <v>659.74649999999997</v>
      </c>
      <c r="AB144" s="25"/>
      <c r="AC144" s="24">
        <f>'Student Enrollment Data'!BU145</f>
        <v>40</v>
      </c>
      <c r="AD144" s="24">
        <f t="shared" si="24"/>
        <v>50.45</v>
      </c>
      <c r="AE144" s="24">
        <f>AD144*'Front page'!$B$16</f>
        <v>1.0090000000000001</v>
      </c>
      <c r="AG144" s="6">
        <f>M144*'Front page'!$E$3</f>
        <v>2476952.0572819198</v>
      </c>
      <c r="AH144" s="6">
        <f>N144*'Front page'!$E$3</f>
        <v>88620.385795715876</v>
      </c>
      <c r="AI144" s="6">
        <f>O144*'Front page'!$E$3</f>
        <v>25530.526655829501</v>
      </c>
      <c r="AJ144" s="6">
        <f>P144*'Front page'!$E$3</f>
        <v>4418.7449981243371</v>
      </c>
      <c r="AK144" s="6">
        <f>Q144*'Front page'!$E$3</f>
        <v>78064.494966863291</v>
      </c>
      <c r="AL144" s="6">
        <f>S144*'Front page'!$E$3</f>
        <v>0</v>
      </c>
      <c r="AM144" s="5">
        <f>Z144*'Front page'!$E$3</f>
        <v>0</v>
      </c>
      <c r="AN144" s="6">
        <f>T144*'Front page'!$E$3</f>
        <v>4953.9041145638403</v>
      </c>
      <c r="AO144" s="6">
        <f>U144*'Front page'!$E$3</f>
        <v>0</v>
      </c>
      <c r="AP144" s="6">
        <f>W144*'Front page'!$E$3</f>
        <v>560628.27163702517</v>
      </c>
      <c r="AQ144" s="6">
        <f>V144*'Front page'!$E$3</f>
        <v>0</v>
      </c>
      <c r="AR144" s="6">
        <f>X144*'Front page'!$E$3</f>
        <v>0</v>
      </c>
      <c r="AS144" s="6">
        <f t="shared" si="25"/>
        <v>3239168.3854500419</v>
      </c>
      <c r="AT144" s="7">
        <f>IF(AS144&gt;'Funding Comparison'!D144*(1+'Front page'!$H$10),'Funding Comparison'!D144*(1+'Front page'!$H$10),AS144)</f>
        <v>3239168.3854500419</v>
      </c>
    </row>
    <row r="145" spans="1:46" s="27" customFormat="1">
      <c r="A145" s="27" t="str">
        <f t="shared" si="18"/>
        <v>481</v>
      </c>
      <c r="B145" s="27">
        <f t="shared" si="20"/>
        <v>481</v>
      </c>
      <c r="C145" s="15" t="s">
        <v>153</v>
      </c>
      <c r="D145">
        <f>IF(settings!$G$4=0,'Student Enrollment Data'!AX146,'Student Enrollment Data'!CK146)</f>
        <v>463</v>
      </c>
      <c r="E145">
        <f>IF(settings!$G$4=0,'Student Enrollment Data'!AY146,'Student Enrollment Data'!CL146)</f>
        <v>207</v>
      </c>
      <c r="F145">
        <f>IF(settings!$G$4=0,'Student Enrollment Data'!AZ146,'Student Enrollment Data'!CM146)</f>
        <v>0</v>
      </c>
      <c r="G145" s="28">
        <f>'Student Enrollment Data'!BK146</f>
        <v>51</v>
      </c>
      <c r="H145" s="27">
        <f>'Student Enrollment Data'!BF146</f>
        <v>317</v>
      </c>
      <c r="I145">
        <f>SUM('Student Enrollment Data'!R146:X146,'Student Enrollment Data'!AQ146:AW146)</f>
        <v>0</v>
      </c>
      <c r="J145" s="27">
        <f>'Student Enrollment Data'!BS146</f>
        <v>136</v>
      </c>
      <c r="K145">
        <f t="shared" si="21"/>
        <v>46.300000000000004</v>
      </c>
      <c r="L145" s="25"/>
      <c r="M145" s="27">
        <f t="shared" si="19"/>
        <v>463</v>
      </c>
      <c r="N145" s="27">
        <f>E145*'Front page'!$B$20</f>
        <v>20.700000000000003</v>
      </c>
      <c r="O145" s="27">
        <f>F145*'Front page'!$B$21</f>
        <v>0</v>
      </c>
      <c r="P145">
        <f>G145*'Front page'!$B$18</f>
        <v>5.1000000000000005</v>
      </c>
      <c r="Q145" s="27">
        <f>IF(settings!$B$4=0,Calculations!H145,Calculations!I145) *'Front page'!$B$11</f>
        <v>31.700000000000003</v>
      </c>
      <c r="R145" s="28">
        <f>ROUND(I145*'Front page'!$B$9,2)</f>
        <v>0</v>
      </c>
      <c r="S145" s="27">
        <f>J145*'Front page'!$B$14</f>
        <v>13.600000000000001</v>
      </c>
      <c r="T145" s="81">
        <f>'Front page'!$B$16*Calculations!K145</f>
        <v>0.92600000000000016</v>
      </c>
      <c r="U145" s="81">
        <f>IF(settings!$B$13=0,(Calculations!M145*'Economic Adjustment'!O144)-Calculations!M145,0)</f>
        <v>0</v>
      </c>
      <c r="V145" s="154">
        <f>VLOOKUP(B145,'Remote School Building Weight'!$M$2:$P$174,3,FALSE)</f>
        <v>0</v>
      </c>
      <c r="W145" s="23">
        <f>'Small Dist Weight'!V144-Calculations!D145</f>
        <v>80.55853448275866</v>
      </c>
      <c r="X145" s="23">
        <f>IF(settings!$P$9=0,'Large District Weight'!H144*'Large District Weight'!G144,0)</f>
        <v>0</v>
      </c>
      <c r="Y145" s="23">
        <f t="shared" si="22"/>
        <v>615.58453448275873</v>
      </c>
      <c r="Z145" s="23">
        <f>IF(settings!$F$13=0,'Teacher Exp'!L145,0)</f>
        <v>0</v>
      </c>
      <c r="AA145" s="23">
        <f t="shared" si="23"/>
        <v>615.58453448275873</v>
      </c>
      <c r="AB145" s="25"/>
      <c r="AC145" s="24">
        <f>'Student Enrollment Data'!BU146</f>
        <v>0</v>
      </c>
      <c r="AD145" s="24">
        <f t="shared" si="24"/>
        <v>46.300000000000004</v>
      </c>
      <c r="AE145" s="24">
        <f>AD145*'Front page'!$B$16</f>
        <v>0.92600000000000016</v>
      </c>
      <c r="AG145" s="6">
        <f>M145*'Front page'!$E$3</f>
        <v>2273198.8157017422</v>
      </c>
      <c r="AH145" s="6">
        <f>N145*'Front page'!$E$3</f>
        <v>101631.13495685977</v>
      </c>
      <c r="AI145" s="6">
        <f>O145*'Front page'!$E$3</f>
        <v>0</v>
      </c>
      <c r="AJ145" s="6">
        <f>P145*'Front page'!$E$3</f>
        <v>25039.554989371245</v>
      </c>
      <c r="AK145" s="6">
        <f>Q145*'Front page'!$E$3</f>
        <v>155638.01826726831</v>
      </c>
      <c r="AL145" s="6">
        <f>S145*'Front page'!$E$3</f>
        <v>66772.14663832332</v>
      </c>
      <c r="AM145" s="5">
        <f>Z145*'Front page'!$E$3</f>
        <v>0</v>
      </c>
      <c r="AN145" s="6">
        <f>T145*'Front page'!$E$3</f>
        <v>4546.3976314034853</v>
      </c>
      <c r="AO145" s="6">
        <f>U145*'Front page'!$E$3</f>
        <v>0</v>
      </c>
      <c r="AP145" s="6">
        <f>W145*'Front page'!$E$3</f>
        <v>395519.57922435191</v>
      </c>
      <c r="AQ145" s="6">
        <f>V145*'Front page'!$E$3</f>
        <v>0</v>
      </c>
      <c r="AR145" s="6">
        <f>X145*'Front page'!$E$3</f>
        <v>0</v>
      </c>
      <c r="AS145" s="6">
        <f t="shared" si="25"/>
        <v>3022345.6474093203</v>
      </c>
      <c r="AT145" s="7">
        <f>IF(AS145&gt;'Funding Comparison'!D145*(1+'Front page'!$H$10),'Funding Comparison'!D145*(1+'Front page'!$H$10),AS145)</f>
        <v>3022345.6474093203</v>
      </c>
    </row>
    <row r="146" spans="1:46" s="27" customFormat="1">
      <c r="A146" s="27" t="str">
        <f t="shared" si="18"/>
        <v>482</v>
      </c>
      <c r="B146" s="27">
        <f t="shared" si="20"/>
        <v>482</v>
      </c>
      <c r="C146" s="15" t="s">
        <v>154</v>
      </c>
      <c r="D146">
        <f>IF(settings!$G$4=0,'Student Enrollment Data'!AX147,'Student Enrollment Data'!CK147)</f>
        <v>339.5</v>
      </c>
      <c r="E146">
        <f>IF(settings!$G$4=0,'Student Enrollment Data'!AY147,'Student Enrollment Data'!CL147)</f>
        <v>143.5</v>
      </c>
      <c r="F146">
        <f>IF(settings!$G$4=0,'Student Enrollment Data'!AZ147,'Student Enrollment Data'!CM147)</f>
        <v>64</v>
      </c>
      <c r="G146" s="28">
        <f>'Student Enrollment Data'!BK147</f>
        <v>24</v>
      </c>
      <c r="H146" s="27">
        <f>'Student Enrollment Data'!BF147</f>
        <v>64</v>
      </c>
      <c r="I146">
        <f>SUM('Student Enrollment Data'!R147:X147,'Student Enrollment Data'!AQ147:AW147)</f>
        <v>0</v>
      </c>
      <c r="J146" s="27">
        <f>'Student Enrollment Data'!BS147</f>
        <v>0</v>
      </c>
      <c r="K146">
        <f t="shared" si="21"/>
        <v>33.950000000000003</v>
      </c>
      <c r="L146" s="25"/>
      <c r="M146" s="27">
        <f t="shared" si="19"/>
        <v>339.5</v>
      </c>
      <c r="N146" s="27">
        <f>E146*'Front page'!$B$20</f>
        <v>14.350000000000001</v>
      </c>
      <c r="O146" s="27">
        <f>F146*'Front page'!$B$21</f>
        <v>6.4</v>
      </c>
      <c r="P146">
        <f>G146*'Front page'!$B$18</f>
        <v>2.4000000000000004</v>
      </c>
      <c r="Q146" s="27">
        <f>IF(settings!$B$4=0,Calculations!H146,Calculations!I146) *'Front page'!$B$11</f>
        <v>6.4</v>
      </c>
      <c r="R146" s="28">
        <f>ROUND(I146*'Front page'!$B$9,2)</f>
        <v>0</v>
      </c>
      <c r="S146" s="27">
        <f>J146*'Front page'!$B$14</f>
        <v>0</v>
      </c>
      <c r="T146" s="81">
        <f>'Front page'!$B$16*Calculations!K146</f>
        <v>0.67900000000000005</v>
      </c>
      <c r="U146" s="81">
        <f>IF(settings!$B$13=0,(Calculations!M146*'Economic Adjustment'!O145)-Calculations!M146,0)</f>
        <v>0</v>
      </c>
      <c r="V146" s="154">
        <f>VLOOKUP(B146,'Remote School Building Weight'!$M$2:$P$174,3,FALSE)</f>
        <v>0</v>
      </c>
      <c r="W146" s="23">
        <f>'Small Dist Weight'!V145-Calculations!D146</f>
        <v>133.6621336206897</v>
      </c>
      <c r="X146" s="23">
        <f>IF(settings!$P$9=0,'Large District Weight'!H145*'Large District Weight'!G145,0)</f>
        <v>0</v>
      </c>
      <c r="Y146" s="23">
        <f t="shared" si="22"/>
        <v>503.39113362068963</v>
      </c>
      <c r="Z146" s="23">
        <f>IF(settings!$F$13=0,'Teacher Exp'!L146,0)</f>
        <v>0</v>
      </c>
      <c r="AA146" s="23">
        <f t="shared" si="23"/>
        <v>503.39113362068963</v>
      </c>
      <c r="AB146" s="25"/>
      <c r="AC146" s="24">
        <f>'Student Enrollment Data'!BU147</f>
        <v>0</v>
      </c>
      <c r="AD146" s="24">
        <f t="shared" si="24"/>
        <v>33.950000000000003</v>
      </c>
      <c r="AE146" s="24">
        <f>AD146*'Front page'!$B$16</f>
        <v>0.67900000000000005</v>
      </c>
      <c r="AG146" s="6">
        <f>M146*'Front page'!$E$3</f>
        <v>1666848.8076257915</v>
      </c>
      <c r="AH146" s="6">
        <f>N146*'Front page'!$E$3</f>
        <v>70454.434136760261</v>
      </c>
      <c r="AI146" s="6">
        <f>O146*'Front page'!$E$3</f>
        <v>31422.186653328619</v>
      </c>
      <c r="AJ146" s="6">
        <f>P146*'Front page'!$E$3</f>
        <v>11783.319994998234</v>
      </c>
      <c r="AK146" s="6">
        <f>Q146*'Front page'!$E$3</f>
        <v>31422.186653328619</v>
      </c>
      <c r="AL146" s="6">
        <f>S146*'Front page'!$E$3</f>
        <v>0</v>
      </c>
      <c r="AM146" s="5">
        <f>Z146*'Front page'!$E$3</f>
        <v>0</v>
      </c>
      <c r="AN146" s="6">
        <f>T146*'Front page'!$E$3</f>
        <v>3333.6976152515831</v>
      </c>
      <c r="AO146" s="6">
        <f>U146*'Front page'!$E$3</f>
        <v>0</v>
      </c>
      <c r="AP146" s="6">
        <f>W146*'Front page'!$E$3</f>
        <v>656243.20486116596</v>
      </c>
      <c r="AQ146" s="6">
        <f>V146*'Front page'!$E$3</f>
        <v>0</v>
      </c>
      <c r="AR146" s="6">
        <f>X146*'Front page'!$E$3</f>
        <v>0</v>
      </c>
      <c r="AS146" s="6">
        <f t="shared" si="25"/>
        <v>2471507.8375406247</v>
      </c>
      <c r="AT146" s="7">
        <f>IF(AS146&gt;'Funding Comparison'!D146*(1+'Front page'!$H$10),'Funding Comparison'!D146*(1+'Front page'!$H$10),AS146)</f>
        <v>2471507.8375406247</v>
      </c>
    </row>
    <row r="147" spans="1:46" s="27" customFormat="1">
      <c r="A147" s="27" t="str">
        <f t="shared" si="18"/>
        <v>483</v>
      </c>
      <c r="B147" s="27">
        <f t="shared" si="20"/>
        <v>483</v>
      </c>
      <c r="C147" s="15" t="s">
        <v>155</v>
      </c>
      <c r="D147">
        <f>IF(settings!$G$4=0,'Student Enrollment Data'!AX148,'Student Enrollment Data'!CK148)</f>
        <v>77.5</v>
      </c>
      <c r="E147">
        <f>IF(settings!$G$4=0,'Student Enrollment Data'!AY148,'Student Enrollment Data'!CL148)</f>
        <v>48.5</v>
      </c>
      <c r="F147">
        <f>IF(settings!$G$4=0,'Student Enrollment Data'!AZ148,'Student Enrollment Data'!CM148)</f>
        <v>0</v>
      </c>
      <c r="G147" s="28">
        <f>'Student Enrollment Data'!BK148</f>
        <v>21</v>
      </c>
      <c r="H147" s="27">
        <f>'Student Enrollment Data'!BF148</f>
        <v>36.979999999999997</v>
      </c>
      <c r="I147">
        <f>SUM('Student Enrollment Data'!R148:X148,'Student Enrollment Data'!AQ148:AW148)</f>
        <v>0</v>
      </c>
      <c r="J147" s="27">
        <f>'Student Enrollment Data'!BS148</f>
        <v>0</v>
      </c>
      <c r="K147">
        <f t="shared" si="21"/>
        <v>7.75</v>
      </c>
      <c r="L147" s="25"/>
      <c r="M147" s="27">
        <f t="shared" si="19"/>
        <v>77.5</v>
      </c>
      <c r="N147" s="27">
        <f>E147*'Front page'!$B$20</f>
        <v>4.8500000000000005</v>
      </c>
      <c r="O147" s="27">
        <f>F147*'Front page'!$B$21</f>
        <v>0</v>
      </c>
      <c r="P147">
        <f>G147*'Front page'!$B$18</f>
        <v>2.1</v>
      </c>
      <c r="Q147" s="27">
        <f>IF(settings!$B$4=0,Calculations!H147,Calculations!I147) *'Front page'!$B$11</f>
        <v>3.698</v>
      </c>
      <c r="R147" s="28">
        <f>ROUND(I147*'Front page'!$B$9,2)</f>
        <v>0</v>
      </c>
      <c r="S147" s="27">
        <f>J147*'Front page'!$B$14</f>
        <v>0</v>
      </c>
      <c r="T147" s="81">
        <f>'Front page'!$B$16*Calculations!K147</f>
        <v>0.155</v>
      </c>
      <c r="U147" s="81">
        <f>IF(settings!$B$13=0,(Calculations!M147*'Economic Adjustment'!O146)-Calculations!M147,0)</f>
        <v>0</v>
      </c>
      <c r="V147" s="154">
        <f>VLOOKUP(B147,'Remote School Building Weight'!$M$2:$P$174,3,FALSE)</f>
        <v>0</v>
      </c>
      <c r="W147" s="23">
        <f>'Small Dist Weight'!V146-Calculations!D147</f>
        <v>54.88517045454546</v>
      </c>
      <c r="X147" s="23">
        <f>IF(settings!$P$9=0,'Large District Weight'!H146*'Large District Weight'!G146,0)</f>
        <v>0</v>
      </c>
      <c r="Y147" s="23">
        <f t="shared" si="22"/>
        <v>143.18817045454546</v>
      </c>
      <c r="Z147" s="23">
        <f>IF(settings!$F$13=0,'Teacher Exp'!L147,0)</f>
        <v>0</v>
      </c>
      <c r="AA147" s="23">
        <f t="shared" si="23"/>
        <v>143.18817045454546</v>
      </c>
      <c r="AB147" s="25"/>
      <c r="AC147" s="24">
        <f>'Student Enrollment Data'!BU148</f>
        <v>0</v>
      </c>
      <c r="AD147" s="24">
        <f t="shared" si="24"/>
        <v>7.75</v>
      </c>
      <c r="AE147" s="24">
        <f>AD147*'Front page'!$B$16</f>
        <v>0.155</v>
      </c>
      <c r="AG147" s="6">
        <f>M147*'Front page'!$E$3</f>
        <v>380503.0415051512</v>
      </c>
      <c r="AH147" s="6">
        <f>N147*'Front page'!$E$3</f>
        <v>23812.125823225597</v>
      </c>
      <c r="AI147" s="6">
        <f>O147*'Front page'!$E$3</f>
        <v>0</v>
      </c>
      <c r="AJ147" s="6">
        <f>P147*'Front page'!$E$3</f>
        <v>10310.404995623452</v>
      </c>
      <c r="AK147" s="6">
        <f>Q147*'Front page'!$E$3</f>
        <v>18156.132225626443</v>
      </c>
      <c r="AL147" s="6">
        <f>S147*'Front page'!$E$3</f>
        <v>0</v>
      </c>
      <c r="AM147" s="5">
        <f>Z147*'Front page'!$E$3</f>
        <v>0</v>
      </c>
      <c r="AN147" s="6">
        <f>T147*'Front page'!$E$3</f>
        <v>761.0060830103024</v>
      </c>
      <c r="AO147" s="6">
        <f>U147*'Front page'!$E$3</f>
        <v>0</v>
      </c>
      <c r="AP147" s="6">
        <f>W147*'Front page'!$E$3</f>
        <v>269470.63601913821</v>
      </c>
      <c r="AQ147" s="6">
        <f>V147*'Front page'!$E$3</f>
        <v>0</v>
      </c>
      <c r="AR147" s="6">
        <f>X147*'Front page'!$E$3</f>
        <v>0</v>
      </c>
      <c r="AS147" s="6">
        <f t="shared" si="25"/>
        <v>703013.34665177518</v>
      </c>
      <c r="AT147" s="7">
        <f>IF(AS147&gt;'Funding Comparison'!D147*(1+'Front page'!$H$10),'Funding Comparison'!D147*(1+'Front page'!$H$10),AS147)</f>
        <v>703013.34665177518</v>
      </c>
    </row>
    <row r="148" spans="1:46" s="27" customFormat="1">
      <c r="A148" s="27" t="str">
        <f t="shared" si="18"/>
        <v>485</v>
      </c>
      <c r="B148" s="27">
        <f t="shared" si="20"/>
        <v>485</v>
      </c>
      <c r="C148" s="15" t="s">
        <v>156</v>
      </c>
      <c r="D148">
        <f>IF(settings!$G$4=0,'Student Enrollment Data'!AX149,'Student Enrollment Data'!CK149)</f>
        <v>118</v>
      </c>
      <c r="E148">
        <f>IF(settings!$G$4=0,'Student Enrollment Data'!AY149,'Student Enrollment Data'!CL149)</f>
        <v>0</v>
      </c>
      <c r="F148">
        <f>IF(settings!$G$4=0,'Student Enrollment Data'!AZ149,'Student Enrollment Data'!CM149)</f>
        <v>118</v>
      </c>
      <c r="G148" s="28">
        <f>'Student Enrollment Data'!BK149</f>
        <v>6</v>
      </c>
      <c r="H148" s="27">
        <f>'Student Enrollment Data'!BF149</f>
        <v>57</v>
      </c>
      <c r="I148">
        <f>SUM('Student Enrollment Data'!R149:X149,'Student Enrollment Data'!AQ149:AW149)</f>
        <v>0</v>
      </c>
      <c r="J148" s="27">
        <f>'Student Enrollment Data'!BS149</f>
        <v>0</v>
      </c>
      <c r="K148">
        <f t="shared" si="21"/>
        <v>11.8</v>
      </c>
      <c r="L148" s="25"/>
      <c r="M148" s="27">
        <f t="shared" si="19"/>
        <v>118</v>
      </c>
      <c r="N148" s="27">
        <f>E148*'Front page'!$B$20</f>
        <v>0</v>
      </c>
      <c r="O148" s="27">
        <f>F148*'Front page'!$B$21</f>
        <v>11.8</v>
      </c>
      <c r="P148">
        <f>G148*'Front page'!$B$18</f>
        <v>0.60000000000000009</v>
      </c>
      <c r="Q148" s="27">
        <f>IF(settings!$B$4=0,Calculations!H148,Calculations!I148) *'Front page'!$B$11</f>
        <v>5.7</v>
      </c>
      <c r="R148" s="28">
        <f>ROUND(I148*'Front page'!$B$9,2)</f>
        <v>0</v>
      </c>
      <c r="S148" s="27">
        <f>J148*'Front page'!$B$14</f>
        <v>0</v>
      </c>
      <c r="T148" s="81">
        <f>'Front page'!$B$16*Calculations!K148</f>
        <v>0.23600000000000002</v>
      </c>
      <c r="U148" s="81">
        <f>IF(settings!$B$13=0,(Calculations!M148*'Economic Adjustment'!O147)-Calculations!M148,0)</f>
        <v>0</v>
      </c>
      <c r="V148" s="154">
        <f>VLOOKUP(B148,'Remote School Building Weight'!$M$2:$P$174,3,FALSE)</f>
        <v>0</v>
      </c>
      <c r="W148" s="23">
        <f>'Small Dist Weight'!V147-Calculations!D148</f>
        <v>98.692758620689659</v>
      </c>
      <c r="X148" s="23">
        <f>IF(settings!$P$9=0,'Large District Weight'!H147*'Large District Weight'!G147,0)</f>
        <v>0</v>
      </c>
      <c r="Y148" s="23">
        <f t="shared" si="22"/>
        <v>235.02875862068964</v>
      </c>
      <c r="Z148" s="23">
        <f>IF(settings!$F$13=0,'Teacher Exp'!L148,0)</f>
        <v>0</v>
      </c>
      <c r="AA148" s="23">
        <f t="shared" si="23"/>
        <v>235.02875862068964</v>
      </c>
      <c r="AB148" s="25"/>
      <c r="AC148" s="24">
        <f>'Student Enrollment Data'!BU149</f>
        <v>0</v>
      </c>
      <c r="AD148" s="24">
        <f t="shared" si="24"/>
        <v>11.8</v>
      </c>
      <c r="AE148" s="24">
        <f>AD148*'Front page'!$B$16</f>
        <v>0.23600000000000002</v>
      </c>
      <c r="AG148" s="6">
        <f>M148*'Front page'!$E$3</f>
        <v>579346.56642074639</v>
      </c>
      <c r="AH148" s="6">
        <f>N148*'Front page'!$E$3</f>
        <v>0</v>
      </c>
      <c r="AI148" s="6">
        <f>O148*'Front page'!$E$3</f>
        <v>57934.656642074639</v>
      </c>
      <c r="AJ148" s="6">
        <f>P148*'Front page'!$E$3</f>
        <v>2945.8299987495584</v>
      </c>
      <c r="AK148" s="6">
        <f>Q148*'Front page'!$E$3</f>
        <v>27985.384988120801</v>
      </c>
      <c r="AL148" s="6">
        <f>S148*'Front page'!$E$3</f>
        <v>0</v>
      </c>
      <c r="AM148" s="5">
        <f>Z148*'Front page'!$E$3</f>
        <v>0</v>
      </c>
      <c r="AN148" s="6">
        <f>T148*'Front page'!$E$3</f>
        <v>1158.6931328414928</v>
      </c>
      <c r="AO148" s="6">
        <f>U148*'Front page'!$E$3</f>
        <v>0</v>
      </c>
      <c r="AP148" s="6">
        <f>W148*'Front page'!$E$3</f>
        <v>484553.48167362774</v>
      </c>
      <c r="AQ148" s="6">
        <f>V148*'Front page'!$E$3</f>
        <v>0</v>
      </c>
      <c r="AR148" s="6">
        <f>X148*'Front page'!$E$3</f>
        <v>0</v>
      </c>
      <c r="AS148" s="6">
        <f t="shared" si="25"/>
        <v>1153924.6128561604</v>
      </c>
      <c r="AT148" s="7">
        <f>IF(AS148&gt;'Funding Comparison'!D148*(1+'Front page'!$H$10),'Funding Comparison'!D148*(1+'Front page'!$H$10),AS148)</f>
        <v>1153924.6128561604</v>
      </c>
    </row>
    <row r="149" spans="1:46" s="27" customFormat="1">
      <c r="A149" s="27" t="str">
        <f t="shared" si="18"/>
        <v>486</v>
      </c>
      <c r="B149" s="27">
        <f t="shared" si="20"/>
        <v>486</v>
      </c>
      <c r="C149" s="15" t="s">
        <v>157</v>
      </c>
      <c r="D149">
        <f>IF(settings!$G$4=0,'Student Enrollment Data'!AX150,'Student Enrollment Data'!CK150)</f>
        <v>94.5</v>
      </c>
      <c r="E149">
        <f>IF(settings!$G$4=0,'Student Enrollment Data'!AY150,'Student Enrollment Data'!CL150)</f>
        <v>43.5</v>
      </c>
      <c r="F149">
        <f>IF(settings!$G$4=0,'Student Enrollment Data'!AZ150,'Student Enrollment Data'!CM150)</f>
        <v>0</v>
      </c>
      <c r="G149" s="28">
        <f>'Student Enrollment Data'!BK150</f>
        <v>12.637640103687664</v>
      </c>
      <c r="H149" s="27">
        <f>'Student Enrollment Data'!BF150</f>
        <v>43.43</v>
      </c>
      <c r="I149">
        <f>SUM('Student Enrollment Data'!R150:X150,'Student Enrollment Data'!AQ150:AW150)</f>
        <v>0</v>
      </c>
      <c r="J149" s="27">
        <f>'Student Enrollment Data'!BS150</f>
        <v>0</v>
      </c>
      <c r="K149">
        <f t="shared" si="21"/>
        <v>9.4500000000000011</v>
      </c>
      <c r="L149" s="25"/>
      <c r="M149" s="27">
        <f t="shared" si="19"/>
        <v>94.5</v>
      </c>
      <c r="N149" s="27">
        <f>E149*'Front page'!$B$20</f>
        <v>4.3500000000000005</v>
      </c>
      <c r="O149" s="27">
        <f>F149*'Front page'!$B$21</f>
        <v>0</v>
      </c>
      <c r="P149">
        <f>G149*'Front page'!$B$18</f>
        <v>1.2637640103687664</v>
      </c>
      <c r="Q149" s="27">
        <f>IF(settings!$B$4=0,Calculations!H149,Calculations!I149) *'Front page'!$B$11</f>
        <v>4.343</v>
      </c>
      <c r="R149" s="28">
        <f>ROUND(I149*'Front page'!$B$9,2)</f>
        <v>0</v>
      </c>
      <c r="S149" s="27">
        <f>J149*'Front page'!$B$14</f>
        <v>0</v>
      </c>
      <c r="T149" s="81">
        <f>'Front page'!$B$16*Calculations!K149</f>
        <v>0.18900000000000003</v>
      </c>
      <c r="U149" s="81">
        <f>IF(settings!$B$13=0,(Calculations!M149*'Economic Adjustment'!O148)-Calculations!M149,0)</f>
        <v>0</v>
      </c>
      <c r="V149" s="154">
        <f>VLOOKUP(B149,'Remote School Building Weight'!$M$2:$P$174,3,FALSE)</f>
        <v>0</v>
      </c>
      <c r="W149" s="23">
        <f>'Small Dist Weight'!V148-Calculations!D149</f>
        <v>71.293806818181821</v>
      </c>
      <c r="X149" s="23">
        <f>IF(settings!$P$9=0,'Large District Weight'!H148*'Large District Weight'!G148,0)</f>
        <v>0</v>
      </c>
      <c r="Y149" s="23">
        <f t="shared" si="22"/>
        <v>175.93957082855059</v>
      </c>
      <c r="Z149" s="23">
        <f>IF(settings!$F$13=0,'Teacher Exp'!L149,0)</f>
        <v>0</v>
      </c>
      <c r="AA149" s="23">
        <f t="shared" si="23"/>
        <v>175.93957082855059</v>
      </c>
      <c r="AB149" s="25"/>
      <c r="AC149" s="24">
        <f>'Student Enrollment Data'!BU150</f>
        <v>0</v>
      </c>
      <c r="AD149" s="24">
        <f t="shared" si="24"/>
        <v>9.4500000000000011</v>
      </c>
      <c r="AE149" s="24">
        <f>AD149*'Front page'!$B$16</f>
        <v>0.18900000000000003</v>
      </c>
      <c r="AG149" s="6">
        <f>M149*'Front page'!$E$3</f>
        <v>463968.22480305535</v>
      </c>
      <c r="AH149" s="6">
        <f>N149*'Front page'!$E$3</f>
        <v>21357.267490934297</v>
      </c>
      <c r="AI149" s="6">
        <f>O149*'Front page'!$E$3</f>
        <v>0</v>
      </c>
      <c r="AJ149" s="6">
        <f>P149*'Front page'!$E$3</f>
        <v>6204.7232218072659</v>
      </c>
      <c r="AK149" s="6">
        <f>Q149*'Front page'!$E$3</f>
        <v>21322.899474282218</v>
      </c>
      <c r="AL149" s="6">
        <f>S149*'Front page'!$E$3</f>
        <v>0</v>
      </c>
      <c r="AM149" s="5">
        <f>Z149*'Front page'!$E$3</f>
        <v>0</v>
      </c>
      <c r="AN149" s="6">
        <f>T149*'Front page'!$E$3</f>
        <v>927.93644960611084</v>
      </c>
      <c r="AO149" s="6">
        <f>U149*'Front page'!$E$3</f>
        <v>0</v>
      </c>
      <c r="AP149" s="6">
        <f>W149*'Front page'!$E$3</f>
        <v>350032.39141675964</v>
      </c>
      <c r="AQ149" s="6">
        <f>V149*'Front page'!$E$3</f>
        <v>0</v>
      </c>
      <c r="AR149" s="6">
        <f>X149*'Front page'!$E$3</f>
        <v>0</v>
      </c>
      <c r="AS149" s="6">
        <f t="shared" si="25"/>
        <v>863813.44285644486</v>
      </c>
      <c r="AT149" s="7">
        <f>IF(AS149&gt;'Funding Comparison'!D149*(1+'Front page'!$H$10),'Funding Comparison'!D149*(1+'Front page'!$H$10),AS149)</f>
        <v>863813.44285644486</v>
      </c>
    </row>
    <row r="150" spans="1:46" s="27" customFormat="1">
      <c r="A150" s="27" t="str">
        <f t="shared" si="18"/>
        <v>487</v>
      </c>
      <c r="B150" s="27">
        <f t="shared" si="20"/>
        <v>487</v>
      </c>
      <c r="C150" s="15" t="s">
        <v>158</v>
      </c>
      <c r="D150">
        <f>IF(settings!$G$4=0,'Student Enrollment Data'!AX151,'Student Enrollment Data'!CK151)</f>
        <v>318</v>
      </c>
      <c r="E150">
        <f>IF(settings!$G$4=0,'Student Enrollment Data'!AY151,'Student Enrollment Data'!CL151)</f>
        <v>0</v>
      </c>
      <c r="F150">
        <f>IF(settings!$G$4=0,'Student Enrollment Data'!AZ151,'Student Enrollment Data'!CM151)</f>
        <v>181</v>
      </c>
      <c r="G150" s="28">
        <f>'Student Enrollment Data'!BK151</f>
        <v>40</v>
      </c>
      <c r="H150" s="27">
        <f>'Student Enrollment Data'!BF151</f>
        <v>113</v>
      </c>
      <c r="I150">
        <f>SUM('Student Enrollment Data'!R151:X151,'Student Enrollment Data'!AQ151:AW151)</f>
        <v>0</v>
      </c>
      <c r="J150" s="27">
        <f>'Student Enrollment Data'!BS151</f>
        <v>0</v>
      </c>
      <c r="K150">
        <f t="shared" si="21"/>
        <v>31.8</v>
      </c>
      <c r="L150" s="25"/>
      <c r="M150" s="27">
        <f t="shared" si="19"/>
        <v>318</v>
      </c>
      <c r="N150" s="27">
        <f>E150*'Front page'!$B$20</f>
        <v>0</v>
      </c>
      <c r="O150" s="27">
        <f>F150*'Front page'!$B$21</f>
        <v>18.100000000000001</v>
      </c>
      <c r="P150">
        <f>G150*'Front page'!$B$18</f>
        <v>4</v>
      </c>
      <c r="Q150" s="27">
        <f>IF(settings!$B$4=0,Calculations!H150,Calculations!I150) *'Front page'!$B$11</f>
        <v>11.3</v>
      </c>
      <c r="R150" s="28">
        <f>ROUND(I150*'Front page'!$B$9,2)</f>
        <v>0</v>
      </c>
      <c r="S150" s="27">
        <f>J150*'Front page'!$B$14</f>
        <v>0</v>
      </c>
      <c r="T150" s="81">
        <f>'Front page'!$B$16*Calculations!K150</f>
        <v>0.63600000000000001</v>
      </c>
      <c r="U150" s="81">
        <f>IF(settings!$B$13=0,(Calculations!M150*'Economic Adjustment'!O149)-Calculations!M150,0)</f>
        <v>0</v>
      </c>
      <c r="V150" s="154">
        <f>VLOOKUP(B150,'Remote School Building Weight'!$M$2:$P$174,3,FALSE)</f>
        <v>0</v>
      </c>
      <c r="W150" s="23">
        <f>'Small Dist Weight'!V149-Calculations!D150</f>
        <v>184.41949843260187</v>
      </c>
      <c r="X150" s="23">
        <f>IF(settings!$P$9=0,'Large District Weight'!H149*'Large District Weight'!G149,0)</f>
        <v>0</v>
      </c>
      <c r="Y150" s="23">
        <f t="shared" si="22"/>
        <v>536.45549843260187</v>
      </c>
      <c r="Z150" s="23">
        <f>IF(settings!$F$13=0,'Teacher Exp'!L150,0)</f>
        <v>0</v>
      </c>
      <c r="AA150" s="23">
        <f t="shared" si="23"/>
        <v>536.45549843260187</v>
      </c>
      <c r="AB150" s="25"/>
      <c r="AC150" s="24">
        <f>'Student Enrollment Data'!BU151</f>
        <v>39</v>
      </c>
      <c r="AD150" s="24">
        <f t="shared" si="24"/>
        <v>31.8</v>
      </c>
      <c r="AE150" s="24">
        <f>AD150*'Front page'!$B$16</f>
        <v>0.63600000000000001</v>
      </c>
      <c r="AG150" s="6">
        <f>M150*'Front page'!$E$3</f>
        <v>1561289.8993372656</v>
      </c>
      <c r="AH150" s="6">
        <f>N150*'Front page'!$E$3</f>
        <v>0</v>
      </c>
      <c r="AI150" s="6">
        <f>O150*'Front page'!$E$3</f>
        <v>88865.871628945009</v>
      </c>
      <c r="AJ150" s="6">
        <f>P150*'Front page'!$E$3</f>
        <v>19638.866658330386</v>
      </c>
      <c r="AK150" s="6">
        <f>Q150*'Front page'!$E$3</f>
        <v>55479.798309783342</v>
      </c>
      <c r="AL150" s="6">
        <f>S150*'Front page'!$E$3</f>
        <v>0</v>
      </c>
      <c r="AM150" s="5">
        <f>Z150*'Front page'!$E$3</f>
        <v>0</v>
      </c>
      <c r="AN150" s="6">
        <f>T150*'Front page'!$E$3</f>
        <v>3122.5797986745315</v>
      </c>
      <c r="AO150" s="6">
        <f>U150*'Front page'!$E$3</f>
        <v>0</v>
      </c>
      <c r="AP150" s="6">
        <f>W150*'Front page'!$E$3</f>
        <v>905447.48472850944</v>
      </c>
      <c r="AQ150" s="6">
        <f>V150*'Front page'!$E$3</f>
        <v>0</v>
      </c>
      <c r="AR150" s="6">
        <f>X150*'Front page'!$E$3</f>
        <v>0</v>
      </c>
      <c r="AS150" s="6">
        <f t="shared" si="25"/>
        <v>2633844.5004615085</v>
      </c>
      <c r="AT150" s="7">
        <f>IF(AS150&gt;'Funding Comparison'!D150*(1+'Front page'!$H$10),'Funding Comparison'!D150*(1+'Front page'!$H$10),AS150)</f>
        <v>2633844.5004615085</v>
      </c>
    </row>
    <row r="151" spans="1:46" s="27" customFormat="1">
      <c r="A151" s="27" t="str">
        <f t="shared" si="18"/>
        <v>488</v>
      </c>
      <c r="B151" s="27">
        <f t="shared" si="20"/>
        <v>488</v>
      </c>
      <c r="C151" s="15" t="s">
        <v>159</v>
      </c>
      <c r="D151">
        <f>IF(settings!$G$4=0,'Student Enrollment Data'!AX152,'Student Enrollment Data'!CK152)</f>
        <v>103.5</v>
      </c>
      <c r="E151">
        <f>IF(settings!$G$4=0,'Student Enrollment Data'!AY152,'Student Enrollment Data'!CL152)</f>
        <v>47.5</v>
      </c>
      <c r="F151">
        <f>IF(settings!$G$4=0,'Student Enrollment Data'!AZ152,'Student Enrollment Data'!CM152)</f>
        <v>0</v>
      </c>
      <c r="G151" s="28">
        <f>'Student Enrollment Data'!BK152</f>
        <v>11</v>
      </c>
      <c r="H151" s="27">
        <f>'Student Enrollment Data'!BF152</f>
        <v>57</v>
      </c>
      <c r="I151">
        <f>SUM('Student Enrollment Data'!R152:X152,'Student Enrollment Data'!AQ152:AW152)</f>
        <v>0</v>
      </c>
      <c r="J151" s="27">
        <f>'Student Enrollment Data'!BS152</f>
        <v>10.105932616873245</v>
      </c>
      <c r="K151">
        <f t="shared" si="21"/>
        <v>10.350000000000001</v>
      </c>
      <c r="L151" s="25"/>
      <c r="M151" s="27">
        <f t="shared" si="19"/>
        <v>103.5</v>
      </c>
      <c r="N151" s="27">
        <f>E151*'Front page'!$B$20</f>
        <v>4.75</v>
      </c>
      <c r="O151" s="27">
        <f>F151*'Front page'!$B$21</f>
        <v>0</v>
      </c>
      <c r="P151">
        <f>G151*'Front page'!$B$18</f>
        <v>1.1000000000000001</v>
      </c>
      <c r="Q151" s="27">
        <f>IF(settings!$B$4=0,Calculations!H151,Calculations!I151) *'Front page'!$B$11</f>
        <v>5.7</v>
      </c>
      <c r="R151" s="28">
        <f>ROUND(I151*'Front page'!$B$9,2)</f>
        <v>0</v>
      </c>
      <c r="S151" s="27">
        <f>J151*'Front page'!$B$14</f>
        <v>1.0105932616873246</v>
      </c>
      <c r="T151" s="81">
        <f>'Front page'!$B$16*Calculations!K151</f>
        <v>0.20700000000000005</v>
      </c>
      <c r="U151" s="81">
        <f>IF(settings!$B$13=0,(Calculations!M151*'Economic Adjustment'!O150)-Calculations!M151,0)</f>
        <v>0</v>
      </c>
      <c r="V151" s="154">
        <f>VLOOKUP(B151,'Remote School Building Weight'!$M$2:$P$174,3,FALSE)</f>
        <v>0</v>
      </c>
      <c r="W151" s="23">
        <f>'Small Dist Weight'!V150-Calculations!D151</f>
        <v>64.23017045454543</v>
      </c>
      <c r="X151" s="23">
        <f>IF(settings!$P$9=0,'Large District Weight'!H150*'Large District Weight'!G150,0)</f>
        <v>0</v>
      </c>
      <c r="Y151" s="23">
        <f t="shared" si="22"/>
        <v>180.49776371623273</v>
      </c>
      <c r="Z151" s="23">
        <f>IF(settings!$F$13=0,'Teacher Exp'!L151,0)</f>
        <v>0</v>
      </c>
      <c r="AA151" s="23">
        <f t="shared" si="23"/>
        <v>180.49776371623273</v>
      </c>
      <c r="AB151" s="25"/>
      <c r="AC151" s="24">
        <f>'Student Enrollment Data'!BU152</f>
        <v>0</v>
      </c>
      <c r="AD151" s="24">
        <f t="shared" si="24"/>
        <v>10.350000000000001</v>
      </c>
      <c r="AE151" s="24">
        <f>AD151*'Front page'!$B$16</f>
        <v>0.20700000000000005</v>
      </c>
      <c r="AG151" s="6">
        <f>M151*'Front page'!$E$3</f>
        <v>508155.67478429875</v>
      </c>
      <c r="AH151" s="6">
        <f>N151*'Front page'!$E$3</f>
        <v>23321.154156767334</v>
      </c>
      <c r="AI151" s="6">
        <f>O151*'Front page'!$E$3</f>
        <v>0</v>
      </c>
      <c r="AJ151" s="6">
        <f>P151*'Front page'!$E$3</f>
        <v>5400.6883310408566</v>
      </c>
      <c r="AK151" s="6">
        <f>Q151*'Front page'!$E$3</f>
        <v>27985.384988120801</v>
      </c>
      <c r="AL151" s="6">
        <f>S151*'Front page'!$E$3</f>
        <v>4961.7265780211383</v>
      </c>
      <c r="AM151" s="5">
        <f>Z151*'Front page'!$E$3</f>
        <v>0</v>
      </c>
      <c r="AN151" s="6">
        <f>T151*'Front page'!$E$3</f>
        <v>1016.3113495685977</v>
      </c>
      <c r="AO151" s="6">
        <f>U151*'Front page'!$E$3</f>
        <v>0</v>
      </c>
      <c r="AP151" s="6">
        <f>W151*'Front page'!$E$3</f>
        <v>315351.9382496624</v>
      </c>
      <c r="AQ151" s="6">
        <f>V151*'Front page'!$E$3</f>
        <v>0</v>
      </c>
      <c r="AR151" s="6">
        <f>X151*'Front page'!$E$3</f>
        <v>0</v>
      </c>
      <c r="AS151" s="6">
        <f t="shared" si="25"/>
        <v>886192.87843747996</v>
      </c>
      <c r="AT151" s="7">
        <f>IF(AS151&gt;'Funding Comparison'!D151*(1+'Front page'!$H$10),'Funding Comparison'!D151*(1+'Front page'!$H$10),AS151)</f>
        <v>886192.87843747996</v>
      </c>
    </row>
    <row r="152" spans="1:46" s="27" customFormat="1">
      <c r="A152" s="27" t="str">
        <f t="shared" si="18"/>
        <v>489</v>
      </c>
      <c r="B152" s="27">
        <f t="shared" si="20"/>
        <v>489</v>
      </c>
      <c r="C152" s="15" t="s">
        <v>160</v>
      </c>
      <c r="D152">
        <f>IF(settings!$G$4=0,'Student Enrollment Data'!AX153,'Student Enrollment Data'!CK153)</f>
        <v>136</v>
      </c>
      <c r="E152">
        <f>IF(settings!$G$4=0,'Student Enrollment Data'!AY153,'Student Enrollment Data'!CL153)</f>
        <v>0</v>
      </c>
      <c r="F152">
        <f>IF(settings!$G$4=0,'Student Enrollment Data'!AZ153,'Student Enrollment Data'!CM153)</f>
        <v>136</v>
      </c>
      <c r="G152" s="28">
        <f>'Student Enrollment Data'!BK153</f>
        <v>8</v>
      </c>
      <c r="H152" s="27">
        <f>'Student Enrollment Data'!BF153</f>
        <v>64</v>
      </c>
      <c r="I152">
        <f>SUM('Student Enrollment Data'!R153:X153,'Student Enrollment Data'!AQ153:AW153)</f>
        <v>0</v>
      </c>
      <c r="J152" s="27">
        <f>'Student Enrollment Data'!BS153</f>
        <v>0</v>
      </c>
      <c r="K152">
        <f t="shared" si="21"/>
        <v>13.600000000000001</v>
      </c>
      <c r="L152" s="25"/>
      <c r="M152" s="27">
        <f t="shared" si="19"/>
        <v>136</v>
      </c>
      <c r="N152" s="27">
        <f>E152*'Front page'!$B$20</f>
        <v>0</v>
      </c>
      <c r="O152" s="27">
        <f>F152*'Front page'!$B$21</f>
        <v>13.600000000000001</v>
      </c>
      <c r="P152">
        <f>G152*'Front page'!$B$18</f>
        <v>0.8</v>
      </c>
      <c r="Q152" s="27">
        <f>IF(settings!$B$4=0,Calculations!H152,Calculations!I152) *'Front page'!$B$11</f>
        <v>6.4</v>
      </c>
      <c r="R152" s="28">
        <f>ROUND(I152*'Front page'!$B$9,2)</f>
        <v>0</v>
      </c>
      <c r="S152" s="27">
        <f>J152*'Front page'!$B$14</f>
        <v>0</v>
      </c>
      <c r="T152" s="81">
        <f>'Front page'!$B$16*Calculations!K152</f>
        <v>0.27200000000000002</v>
      </c>
      <c r="U152" s="81">
        <f>IF(settings!$B$13=0,(Calculations!M152*'Economic Adjustment'!O151)-Calculations!M152,0)</f>
        <v>0</v>
      </c>
      <c r="V152" s="154">
        <f>VLOOKUP(B152,'Remote School Building Weight'!$M$2:$P$174,3,FALSE)</f>
        <v>0</v>
      </c>
      <c r="W152" s="23">
        <f>'Small Dist Weight'!V151-Calculations!D152</f>
        <v>109.31586206896552</v>
      </c>
      <c r="X152" s="23">
        <f>IF(settings!$P$9=0,'Large District Weight'!H151*'Large District Weight'!G151,0)</f>
        <v>0</v>
      </c>
      <c r="Y152" s="23">
        <f t="shared" si="22"/>
        <v>266.38786206896555</v>
      </c>
      <c r="Z152" s="23">
        <f>IF(settings!$F$13=0,'Teacher Exp'!L152,0)</f>
        <v>0</v>
      </c>
      <c r="AA152" s="23">
        <f t="shared" si="23"/>
        <v>266.38786206896555</v>
      </c>
      <c r="AB152" s="25"/>
      <c r="AC152" s="24">
        <f>'Student Enrollment Data'!BU153</f>
        <v>0</v>
      </c>
      <c r="AD152" s="24">
        <f t="shared" si="24"/>
        <v>13.600000000000001</v>
      </c>
      <c r="AE152" s="24">
        <f>AD152*'Front page'!$B$16</f>
        <v>0.27200000000000002</v>
      </c>
      <c r="AG152" s="6">
        <f>M152*'Front page'!$E$3</f>
        <v>667721.46638323308</v>
      </c>
      <c r="AH152" s="6">
        <f>N152*'Front page'!$E$3</f>
        <v>0</v>
      </c>
      <c r="AI152" s="6">
        <f>O152*'Front page'!$E$3</f>
        <v>66772.14663832332</v>
      </c>
      <c r="AJ152" s="6">
        <f>P152*'Front page'!$E$3</f>
        <v>3927.7733316660774</v>
      </c>
      <c r="AK152" s="6">
        <f>Q152*'Front page'!$E$3</f>
        <v>31422.186653328619</v>
      </c>
      <c r="AL152" s="6">
        <f>S152*'Front page'!$E$3</f>
        <v>0</v>
      </c>
      <c r="AM152" s="5">
        <f>Z152*'Front page'!$E$3</f>
        <v>0</v>
      </c>
      <c r="AN152" s="6">
        <f>T152*'Front page'!$E$3</f>
        <v>1335.4429327664664</v>
      </c>
      <c r="AO152" s="6">
        <f>U152*'Front page'!$E$3</f>
        <v>0</v>
      </c>
      <c r="AP152" s="6">
        <f>W152*'Front page'!$E$3</f>
        <v>536709.90970321256</v>
      </c>
      <c r="AQ152" s="6">
        <f>V152*'Front page'!$E$3</f>
        <v>0</v>
      </c>
      <c r="AR152" s="6">
        <f>X152*'Front page'!$E$3</f>
        <v>0</v>
      </c>
      <c r="AS152" s="6">
        <f t="shared" si="25"/>
        <v>1307888.9256425302</v>
      </c>
      <c r="AT152" s="7">
        <f>IF(AS152&gt;'Funding Comparison'!D152*(1+'Front page'!$H$10),'Funding Comparison'!D152*(1+'Front page'!$H$10),AS152)</f>
        <v>1307888.9256425302</v>
      </c>
    </row>
    <row r="153" spans="1:46" s="27" customFormat="1">
      <c r="A153" s="27" t="str">
        <f t="shared" si="18"/>
        <v>490</v>
      </c>
      <c r="B153" s="27">
        <f t="shared" si="20"/>
        <v>490</v>
      </c>
      <c r="C153" s="15" t="s">
        <v>161</v>
      </c>
      <c r="D153">
        <f>IF(settings!$G$4=0,'Student Enrollment Data'!AX154,'Student Enrollment Data'!CK154)</f>
        <v>451</v>
      </c>
      <c r="E153">
        <f>IF(settings!$G$4=0,'Student Enrollment Data'!AY154,'Student Enrollment Data'!CL154)</f>
        <v>63</v>
      </c>
      <c r="F153">
        <f>IF(settings!$G$4=0,'Student Enrollment Data'!AZ154,'Student Enrollment Data'!CM154)</f>
        <v>210</v>
      </c>
      <c r="G153" s="28">
        <f>'Student Enrollment Data'!BK154</f>
        <v>36</v>
      </c>
      <c r="H153" s="27">
        <f>'Student Enrollment Data'!BF154</f>
        <v>215</v>
      </c>
      <c r="I153">
        <f>SUM('Student Enrollment Data'!R154:X154,'Student Enrollment Data'!AQ154:AW154)</f>
        <v>0</v>
      </c>
      <c r="J153" s="27">
        <f>'Student Enrollment Data'!BS154</f>
        <v>46.656896703435152</v>
      </c>
      <c r="K153">
        <f t="shared" si="21"/>
        <v>45.1</v>
      </c>
      <c r="L153" s="25"/>
      <c r="M153" s="27">
        <f t="shared" si="19"/>
        <v>451</v>
      </c>
      <c r="N153" s="27">
        <f>E153*'Front page'!$B$20</f>
        <v>6.3000000000000007</v>
      </c>
      <c r="O153" s="27">
        <f>F153*'Front page'!$B$21</f>
        <v>21</v>
      </c>
      <c r="P153">
        <f>G153*'Front page'!$B$18</f>
        <v>3.6</v>
      </c>
      <c r="Q153" s="27">
        <f>IF(settings!$B$4=0,Calculations!H153,Calculations!I153) *'Front page'!$B$11</f>
        <v>21.5</v>
      </c>
      <c r="R153" s="28">
        <f>ROUND(I153*'Front page'!$B$9,2)</f>
        <v>0</v>
      </c>
      <c r="S153" s="27">
        <f>J153*'Front page'!$B$14</f>
        <v>4.6656896703435153</v>
      </c>
      <c r="T153" s="81">
        <f>'Front page'!$B$16*Calculations!K153</f>
        <v>0.90200000000000002</v>
      </c>
      <c r="U153" s="81">
        <f>IF(settings!$B$13=0,(Calculations!M153*'Economic Adjustment'!O152)-Calculations!M153,0)</f>
        <v>0</v>
      </c>
      <c r="V153" s="154">
        <f>VLOOKUP(B153,'Remote School Building Weight'!$M$2:$P$174,3,FALSE)</f>
        <v>0</v>
      </c>
      <c r="W153" s="23">
        <f>'Small Dist Weight'!V152-Calculations!D153</f>
        <v>206.41996081504703</v>
      </c>
      <c r="X153" s="23">
        <f>IF(settings!$P$9=0,'Large District Weight'!H152*'Large District Weight'!G152,0)</f>
        <v>0</v>
      </c>
      <c r="Y153" s="23">
        <f t="shared" si="22"/>
        <v>715.38765048539062</v>
      </c>
      <c r="Z153" s="23">
        <f>IF(settings!$F$13=0,'Teacher Exp'!L153,0)</f>
        <v>0</v>
      </c>
      <c r="AA153" s="23">
        <f t="shared" si="23"/>
        <v>715.38765048539062</v>
      </c>
      <c r="AB153" s="25"/>
      <c r="AC153" s="24">
        <f>'Student Enrollment Data'!BU154</f>
        <v>9</v>
      </c>
      <c r="AD153" s="24">
        <f t="shared" si="24"/>
        <v>45.1</v>
      </c>
      <c r="AE153" s="24">
        <f>AD153*'Front page'!$B$16</f>
        <v>0.90200000000000002</v>
      </c>
      <c r="AG153" s="6">
        <f>M153*'Front page'!$E$3</f>
        <v>2214282.2157267509</v>
      </c>
      <c r="AH153" s="6">
        <f>N153*'Front page'!$E$3</f>
        <v>30931.21498687036</v>
      </c>
      <c r="AI153" s="6">
        <f>O153*'Front page'!$E$3</f>
        <v>103104.04995623452</v>
      </c>
      <c r="AJ153" s="6">
        <f>P153*'Front page'!$E$3</f>
        <v>17674.979992497349</v>
      </c>
      <c r="AK153" s="6">
        <f>Q153*'Front page'!$E$3</f>
        <v>105558.90828852582</v>
      </c>
      <c r="AL153" s="6">
        <f>S153*'Front page'!$E$3</f>
        <v>22907.214326256439</v>
      </c>
      <c r="AM153" s="5">
        <f>Z153*'Front page'!$E$3</f>
        <v>0</v>
      </c>
      <c r="AN153" s="6">
        <f>T153*'Front page'!$E$3</f>
        <v>4428.564431453502</v>
      </c>
      <c r="AO153" s="6">
        <f>U153*'Front page'!$E$3</f>
        <v>0</v>
      </c>
      <c r="AP153" s="6">
        <f>W153*'Front page'!$E$3</f>
        <v>1013463.521516123</v>
      </c>
      <c r="AQ153" s="6">
        <f>V153*'Front page'!$E$3</f>
        <v>0</v>
      </c>
      <c r="AR153" s="6">
        <f>X153*'Front page'!$E$3</f>
        <v>0</v>
      </c>
      <c r="AS153" s="6">
        <f t="shared" si="25"/>
        <v>3512350.6692247121</v>
      </c>
      <c r="AT153" s="7">
        <f>IF(AS153&gt;'Funding Comparison'!D153*(1+'Front page'!$H$10),'Funding Comparison'!D153*(1+'Front page'!$H$10),AS153)</f>
        <v>3512350.6692247121</v>
      </c>
    </row>
    <row r="154" spans="1:46" s="27" customFormat="1">
      <c r="A154" s="27" t="str">
        <f t="shared" si="18"/>
        <v>491</v>
      </c>
      <c r="B154" s="27">
        <f t="shared" si="20"/>
        <v>491</v>
      </c>
      <c r="C154" s="15" t="s">
        <v>162</v>
      </c>
      <c r="D154">
        <f>IF(settings!$G$4=0,'Student Enrollment Data'!AX155,'Student Enrollment Data'!CK155)</f>
        <v>687</v>
      </c>
      <c r="E154">
        <f>IF(settings!$G$4=0,'Student Enrollment Data'!AY155,'Student Enrollment Data'!CL155)</f>
        <v>0</v>
      </c>
      <c r="F154">
        <f>IF(settings!$G$4=0,'Student Enrollment Data'!AZ155,'Student Enrollment Data'!CM155)</f>
        <v>303</v>
      </c>
      <c r="G154" s="28">
        <f>'Student Enrollment Data'!BK155</f>
        <v>12</v>
      </c>
      <c r="H154" s="27">
        <f>'Student Enrollment Data'!BF155</f>
        <v>295.39</v>
      </c>
      <c r="I154">
        <f>SUM('Student Enrollment Data'!R155:X155,'Student Enrollment Data'!AQ155:AW155)</f>
        <v>0</v>
      </c>
      <c r="J154" s="27">
        <f>'Student Enrollment Data'!BS155</f>
        <v>0</v>
      </c>
      <c r="K154">
        <f t="shared" si="21"/>
        <v>68.7</v>
      </c>
      <c r="L154" s="25"/>
      <c r="M154" s="27">
        <f t="shared" si="19"/>
        <v>687</v>
      </c>
      <c r="N154" s="27">
        <f>E154*'Front page'!$B$20</f>
        <v>0</v>
      </c>
      <c r="O154" s="27">
        <f>F154*'Front page'!$B$21</f>
        <v>30.3</v>
      </c>
      <c r="P154">
        <f>G154*'Front page'!$B$18</f>
        <v>1.2000000000000002</v>
      </c>
      <c r="Q154" s="27">
        <f>IF(settings!$B$4=0,Calculations!H154,Calculations!I154) *'Front page'!$B$11</f>
        <v>29.539000000000001</v>
      </c>
      <c r="R154" s="28">
        <f>ROUND(I154*'Front page'!$B$9,2)</f>
        <v>0</v>
      </c>
      <c r="S154" s="27">
        <f>J154*'Front page'!$B$14</f>
        <v>0</v>
      </c>
      <c r="T154" s="81">
        <f>'Front page'!$B$16*Calculations!K154</f>
        <v>1.3740000000000001</v>
      </c>
      <c r="U154" s="81">
        <f>IF(settings!$B$13=0,(Calculations!M154*'Economic Adjustment'!O153)-Calculations!M154,0)</f>
        <v>0</v>
      </c>
      <c r="V154" s="154">
        <f>VLOOKUP(B154,'Remote School Building Weight'!$M$2:$P$174,3,FALSE)</f>
        <v>0</v>
      </c>
      <c r="W154" s="23">
        <f>'Small Dist Weight'!V153-Calculations!D154</f>
        <v>159.91582288401264</v>
      </c>
      <c r="X154" s="23">
        <f>IF(settings!$P$9=0,'Large District Weight'!H153*'Large District Weight'!G153,0)</f>
        <v>0</v>
      </c>
      <c r="Y154" s="23">
        <f t="shared" si="22"/>
        <v>909.32882288401265</v>
      </c>
      <c r="Z154" s="23">
        <f>IF(settings!$F$13=0,'Teacher Exp'!L154,0)</f>
        <v>0</v>
      </c>
      <c r="AA154" s="23">
        <f t="shared" si="23"/>
        <v>909.32882288401265</v>
      </c>
      <c r="AB154" s="25"/>
      <c r="AC154" s="24">
        <f>'Student Enrollment Data'!BU155</f>
        <v>0</v>
      </c>
      <c r="AD154" s="24">
        <f t="shared" si="24"/>
        <v>68.7</v>
      </c>
      <c r="AE154" s="24">
        <f>AD154*'Front page'!$B$16</f>
        <v>1.3740000000000001</v>
      </c>
      <c r="AG154" s="6">
        <f>M154*'Front page'!$E$3</f>
        <v>3372975.3485682439</v>
      </c>
      <c r="AH154" s="6">
        <f>N154*'Front page'!$E$3</f>
        <v>0</v>
      </c>
      <c r="AI154" s="6">
        <f>O154*'Front page'!$E$3</f>
        <v>148764.41493685267</v>
      </c>
      <c r="AJ154" s="6">
        <f>P154*'Front page'!$E$3</f>
        <v>5891.6599974991168</v>
      </c>
      <c r="AK154" s="6">
        <f>Q154*'Front page'!$E$3</f>
        <v>145028.12055510533</v>
      </c>
      <c r="AL154" s="6">
        <f>S154*'Front page'!$E$3</f>
        <v>0</v>
      </c>
      <c r="AM154" s="5">
        <f>Z154*'Front page'!$E$3</f>
        <v>0</v>
      </c>
      <c r="AN154" s="6">
        <f>T154*'Front page'!$E$3</f>
        <v>6745.9506971364881</v>
      </c>
      <c r="AO154" s="6">
        <f>U154*'Front page'!$E$3</f>
        <v>0</v>
      </c>
      <c r="AP154" s="6">
        <f>W154*'Front page'!$E$3</f>
        <v>785141.38054407574</v>
      </c>
      <c r="AQ154" s="6">
        <f>V154*'Front page'!$E$3</f>
        <v>0</v>
      </c>
      <c r="AR154" s="6">
        <f>X154*'Front page'!$E$3</f>
        <v>0</v>
      </c>
      <c r="AS154" s="6">
        <f t="shared" si="25"/>
        <v>4464546.8752989136</v>
      </c>
      <c r="AT154" s="7">
        <f>IF(AS154&gt;'Funding Comparison'!D154*(1+'Front page'!$H$10),'Funding Comparison'!D154*(1+'Front page'!$H$10),AS154)</f>
        <v>4464546.8752989136</v>
      </c>
    </row>
    <row r="155" spans="1:46" s="27" customFormat="1">
      <c r="A155" s="27" t="str">
        <f t="shared" si="18"/>
        <v>492</v>
      </c>
      <c r="B155" s="27">
        <f>A155*1</f>
        <v>492</v>
      </c>
      <c r="C155" s="15" t="s">
        <v>163</v>
      </c>
      <c r="D155">
        <f>IF(settings!$G$4=0,'Student Enrollment Data'!AX156,'Student Enrollment Data'!CK156)</f>
        <v>354</v>
      </c>
      <c r="E155">
        <f>IF(settings!$G$4=0,'Student Enrollment Data'!AY156,'Student Enrollment Data'!CL156)</f>
        <v>127</v>
      </c>
      <c r="F155">
        <f>IF(settings!$G$4=0,'Student Enrollment Data'!AZ156,'Student Enrollment Data'!CM156)</f>
        <v>0</v>
      </c>
      <c r="G155" s="28">
        <f>'Student Enrollment Data'!BK156</f>
        <v>27</v>
      </c>
      <c r="H155" s="27">
        <f>'Student Enrollment Data'!BF156</f>
        <v>159.94999999999999</v>
      </c>
      <c r="I155">
        <f>SUM('Student Enrollment Data'!R156:X156,'Student Enrollment Data'!AQ156:AW156)</f>
        <v>0</v>
      </c>
      <c r="J155" s="27">
        <f>'Student Enrollment Data'!BS156</f>
        <v>29.665337744785099</v>
      </c>
      <c r="K155">
        <f t="shared" si="21"/>
        <v>35.4</v>
      </c>
      <c r="L155" s="25"/>
      <c r="M155" s="27">
        <f t="shared" si="19"/>
        <v>354</v>
      </c>
      <c r="N155" s="27">
        <f>E155*'Front page'!$B$20</f>
        <v>12.700000000000001</v>
      </c>
      <c r="O155" s="27">
        <f>F155*'Front page'!$B$21</f>
        <v>0</v>
      </c>
      <c r="P155">
        <f>G155*'Front page'!$B$18</f>
        <v>2.7</v>
      </c>
      <c r="Q155" s="27">
        <f>IF(settings!$B$4=0,Calculations!H155,Calculations!I155) *'Front page'!$B$11</f>
        <v>15.994999999999999</v>
      </c>
      <c r="R155" s="28">
        <f>ROUND(I155*'Front page'!$B$9,2)</f>
        <v>0</v>
      </c>
      <c r="S155" s="27">
        <f>J155*'Front page'!$B$14</f>
        <v>2.9665337744785099</v>
      </c>
      <c r="T155" s="81">
        <f>'Front page'!$B$16*Calculations!K155</f>
        <v>0.70799999999999996</v>
      </c>
      <c r="U155" s="81">
        <f>IF(settings!$B$13=0,(Calculations!M155*'Economic Adjustment'!O154)-Calculations!M155,0)</f>
        <v>0</v>
      </c>
      <c r="V155" s="154">
        <f>VLOOKUP(B155,'Remote School Building Weight'!$M$2:$P$174,3,FALSE)</f>
        <v>0</v>
      </c>
      <c r="W155" s="23">
        <f>'Small Dist Weight'!V154-Calculations!D155</f>
        <v>119.53608150470222</v>
      </c>
      <c r="X155" s="23">
        <f>IF(settings!$P$9=0,'Large District Weight'!H154*'Large District Weight'!G154,0)</f>
        <v>0</v>
      </c>
      <c r="Y155" s="23">
        <f t="shared" si="22"/>
        <v>508.60561527918077</v>
      </c>
      <c r="Z155" s="23">
        <f>IF(settings!$F$13=0,'Teacher Exp'!L155,0)</f>
        <v>0</v>
      </c>
      <c r="AA155" s="23">
        <f t="shared" si="23"/>
        <v>508.60561527918077</v>
      </c>
      <c r="AB155" s="25"/>
      <c r="AC155" s="24">
        <f>'Student Enrollment Data'!BU156</f>
        <v>9</v>
      </c>
      <c r="AD155" s="24">
        <f t="shared" si="24"/>
        <v>35.4</v>
      </c>
      <c r="AE155" s="24">
        <f>AD155*'Front page'!$B$16</f>
        <v>0.70799999999999996</v>
      </c>
      <c r="AG155" s="6">
        <f>M155*'Front page'!$E$3</f>
        <v>1738039.699262239</v>
      </c>
      <c r="AH155" s="6">
        <f>N155*'Front page'!$E$3</f>
        <v>62353.401640198979</v>
      </c>
      <c r="AI155" s="6">
        <f>O155*'Front page'!$E$3</f>
        <v>0</v>
      </c>
      <c r="AJ155" s="6">
        <f>P155*'Front page'!$E$3</f>
        <v>13256.234994373011</v>
      </c>
      <c r="AK155" s="6">
        <f>Q155*'Front page'!$E$3</f>
        <v>78530.918049998625</v>
      </c>
      <c r="AL155" s="6">
        <f>S155*'Front page'!$E$3</f>
        <v>14564.840308604249</v>
      </c>
      <c r="AM155" s="5">
        <f>Z155*'Front page'!$E$3</f>
        <v>0</v>
      </c>
      <c r="AN155" s="6">
        <f>T155*'Front page'!$E$3</f>
        <v>3476.0793985244782</v>
      </c>
      <c r="AO155" s="6">
        <f>U155*'Front page'!$E$3</f>
        <v>0</v>
      </c>
      <c r="AP155" s="6">
        <f>W155*'Front page'!$E$3</f>
        <v>586888.29138254002</v>
      </c>
      <c r="AQ155" s="6">
        <f>V155*'Front page'!$E$3</f>
        <v>0</v>
      </c>
      <c r="AR155" s="6">
        <f>X155*'Front page'!$E$3</f>
        <v>0</v>
      </c>
      <c r="AS155" s="6">
        <f t="shared" si="25"/>
        <v>2497109.4650364784</v>
      </c>
      <c r="AT155" s="7">
        <f>IF(AS155&gt;'Funding Comparison'!D155*(1+'Front page'!$H$10),'Funding Comparison'!D155*(1+'Front page'!$H$10),AS155)</f>
        <v>2497109.4650364784</v>
      </c>
    </row>
    <row r="156" spans="1:46" s="27" customFormat="1">
      <c r="A156" s="27" t="str">
        <f t="shared" si="18"/>
        <v>493</v>
      </c>
      <c r="B156" s="27">
        <f t="shared" si="20"/>
        <v>493</v>
      </c>
      <c r="C156" s="15" t="s">
        <v>164</v>
      </c>
      <c r="D156">
        <f>IF(settings!$G$4=0,'Student Enrollment Data'!AX157,'Student Enrollment Data'!CK157)</f>
        <v>933</v>
      </c>
      <c r="E156">
        <f>IF(settings!$G$4=0,'Student Enrollment Data'!AY157,'Student Enrollment Data'!CL157)</f>
        <v>300</v>
      </c>
      <c r="F156">
        <f>IF(settings!$G$4=0,'Student Enrollment Data'!AZ157,'Student Enrollment Data'!CM157)</f>
        <v>140</v>
      </c>
      <c r="G156" s="28">
        <f>'Student Enrollment Data'!BK157</f>
        <v>42</v>
      </c>
      <c r="H156" s="27">
        <f>'Student Enrollment Data'!BF157</f>
        <v>419.22</v>
      </c>
      <c r="I156">
        <f>SUM('Student Enrollment Data'!R157:X157,'Student Enrollment Data'!AQ157:AW157)</f>
        <v>0</v>
      </c>
      <c r="J156" s="27">
        <f>'Student Enrollment Data'!BS157</f>
        <v>77.74078278416367</v>
      </c>
      <c r="K156">
        <f t="shared" si="21"/>
        <v>93.300000000000011</v>
      </c>
      <c r="L156" s="25"/>
      <c r="M156" s="27">
        <f t="shared" si="19"/>
        <v>933</v>
      </c>
      <c r="N156" s="27">
        <f>E156*'Front page'!$B$20</f>
        <v>30</v>
      </c>
      <c r="O156" s="27">
        <f>F156*'Front page'!$B$21</f>
        <v>14</v>
      </c>
      <c r="P156">
        <f>G156*'Front page'!$B$18</f>
        <v>4.2</v>
      </c>
      <c r="Q156" s="27">
        <f>IF(settings!$B$4=0,Calculations!H156,Calculations!I156) *'Front page'!$B$11</f>
        <v>41.922000000000004</v>
      </c>
      <c r="R156" s="28">
        <f>ROUND(I156*'Front page'!$B$9,2)</f>
        <v>0</v>
      </c>
      <c r="S156" s="27">
        <f>J156*'Front page'!$B$14</f>
        <v>7.7740782784163676</v>
      </c>
      <c r="T156" s="81">
        <f>'Front page'!$B$16*Calculations!K156</f>
        <v>1.8660000000000003</v>
      </c>
      <c r="U156" s="81">
        <f>IF(settings!$B$13=0,(Calculations!M156*'Economic Adjustment'!O155)-Calculations!M156,0)</f>
        <v>0</v>
      </c>
      <c r="V156" s="154">
        <f>VLOOKUP(B156,'Remote School Building Weight'!$M$2:$P$174,3,FALSE)</f>
        <v>0</v>
      </c>
      <c r="W156" s="23">
        <f>'Small Dist Weight'!V155-Calculations!D156</f>
        <v>147.35482758620674</v>
      </c>
      <c r="X156" s="23">
        <f>IF(settings!$P$9=0,'Large District Weight'!H155*'Large District Weight'!G155,0)</f>
        <v>0</v>
      </c>
      <c r="Y156" s="23">
        <f t="shared" si="22"/>
        <v>1180.116905864623</v>
      </c>
      <c r="Z156" s="23">
        <f>IF(settings!$F$13=0,'Teacher Exp'!L156,0)</f>
        <v>0</v>
      </c>
      <c r="AA156" s="23">
        <f t="shared" si="23"/>
        <v>1180.116905864623</v>
      </c>
      <c r="AB156" s="25"/>
      <c r="AC156" s="24">
        <f>'Student Enrollment Data'!BU157</f>
        <v>6</v>
      </c>
      <c r="AD156" s="24">
        <f t="shared" si="24"/>
        <v>93.300000000000011</v>
      </c>
      <c r="AE156" s="24">
        <f>AD156*'Front page'!$B$16</f>
        <v>1.8660000000000003</v>
      </c>
      <c r="AG156" s="6">
        <f>M156*'Front page'!$E$3</f>
        <v>4580765.6480555627</v>
      </c>
      <c r="AH156" s="6">
        <f>N156*'Front page'!$E$3</f>
        <v>147291.4999374779</v>
      </c>
      <c r="AI156" s="6">
        <f>O156*'Front page'!$E$3</f>
        <v>68736.033304156357</v>
      </c>
      <c r="AJ156" s="6">
        <f>P156*'Front page'!$E$3</f>
        <v>20620.809991246904</v>
      </c>
      <c r="AK156" s="6">
        <f>Q156*'Front page'!$E$3</f>
        <v>205825.14201263164</v>
      </c>
      <c r="AL156" s="6">
        <f>S156*'Front page'!$E$3</f>
        <v>38168.521675310425</v>
      </c>
      <c r="AM156" s="5">
        <f>Z156*'Front page'!$E$3</f>
        <v>0</v>
      </c>
      <c r="AN156" s="6">
        <f>T156*'Front page'!$E$3</f>
        <v>9161.5312961111267</v>
      </c>
      <c r="AO156" s="6">
        <f>U156*'Front page'!$E$3</f>
        <v>0</v>
      </c>
      <c r="AP156" s="6">
        <f>W156*'Front page'!$E$3</f>
        <v>723470.45260669454</v>
      </c>
      <c r="AQ156" s="6">
        <f>V156*'Front page'!$E$3</f>
        <v>0</v>
      </c>
      <c r="AR156" s="6">
        <f>X156*'Front page'!$E$3</f>
        <v>0</v>
      </c>
      <c r="AS156" s="6">
        <f t="shared" si="25"/>
        <v>5794039.6388791911</v>
      </c>
      <c r="AT156" s="7">
        <f>IF(AS156&gt;'Funding Comparison'!D156*(1+'Front page'!$H$10),'Funding Comparison'!D156*(1+'Front page'!$H$10),AS156)</f>
        <v>5794039.6388791911</v>
      </c>
    </row>
    <row r="157" spans="1:46" s="27" customFormat="1">
      <c r="A157" s="27" t="str">
        <f t="shared" si="18"/>
        <v>494</v>
      </c>
      <c r="B157" s="27">
        <f t="shared" si="20"/>
        <v>494</v>
      </c>
      <c r="C157" s="15" t="s">
        <v>165</v>
      </c>
      <c r="D157">
        <f>IF(settings!$G$4=0,'Student Enrollment Data'!AX158,'Student Enrollment Data'!CK158)</f>
        <v>327</v>
      </c>
      <c r="E157">
        <f>IF(settings!$G$4=0,'Student Enrollment Data'!AY158,'Student Enrollment Data'!CL158)</f>
        <v>128</v>
      </c>
      <c r="F157">
        <f>IF(settings!$G$4=0,'Student Enrollment Data'!AZ158,'Student Enrollment Data'!CM158)</f>
        <v>0</v>
      </c>
      <c r="G157" s="28">
        <f>'Student Enrollment Data'!BK158</f>
        <v>44</v>
      </c>
      <c r="H157" s="27">
        <f>'Student Enrollment Data'!BF158</f>
        <v>93</v>
      </c>
      <c r="I157">
        <f>SUM('Student Enrollment Data'!R158:X158,'Student Enrollment Data'!AQ158:AW158)</f>
        <v>0</v>
      </c>
      <c r="J157" s="27">
        <f>'Student Enrollment Data'!BS158</f>
        <v>27.69510573188899</v>
      </c>
      <c r="K157">
        <f t="shared" si="21"/>
        <v>32.700000000000003</v>
      </c>
      <c r="L157" s="25"/>
      <c r="M157" s="27">
        <f t="shared" si="19"/>
        <v>327</v>
      </c>
      <c r="N157" s="27">
        <f>E157*'Front page'!$B$20</f>
        <v>12.8</v>
      </c>
      <c r="O157" s="27">
        <f>F157*'Front page'!$B$21</f>
        <v>0</v>
      </c>
      <c r="P157">
        <f>G157*'Front page'!$B$18</f>
        <v>4.4000000000000004</v>
      </c>
      <c r="Q157" s="27">
        <f>IF(settings!$B$4=0,Calculations!H157,Calculations!I157) *'Front page'!$B$11</f>
        <v>9.3000000000000007</v>
      </c>
      <c r="R157" s="28">
        <f>ROUND(I157*'Front page'!$B$9,2)</f>
        <v>0</v>
      </c>
      <c r="S157" s="27">
        <f>J157*'Front page'!$B$14</f>
        <v>2.7695105731888994</v>
      </c>
      <c r="T157" s="81">
        <f>'Front page'!$B$16*Calculations!K157</f>
        <v>0.65400000000000003</v>
      </c>
      <c r="U157" s="81">
        <f>IF(settings!$B$13=0,(Calculations!M157*'Economic Adjustment'!O156)-Calculations!M157,0)</f>
        <v>0</v>
      </c>
      <c r="V157" s="154">
        <f>VLOOKUP(B157,'Remote School Building Weight'!$M$2:$P$174,3,FALSE)</f>
        <v>0</v>
      </c>
      <c r="W157" s="23">
        <f>'Small Dist Weight'!V156-Calculations!D157</f>
        <v>108.06217084639502</v>
      </c>
      <c r="X157" s="23">
        <f>IF(settings!$P$9=0,'Large District Weight'!H156*'Large District Weight'!G156,0)</f>
        <v>0</v>
      </c>
      <c r="Y157" s="23">
        <f t="shared" si="22"/>
        <v>464.9856814195839</v>
      </c>
      <c r="Z157" s="23">
        <f>IF(settings!$F$13=0,'Teacher Exp'!L157,0)</f>
        <v>0</v>
      </c>
      <c r="AA157" s="23">
        <f t="shared" si="23"/>
        <v>464.9856814195839</v>
      </c>
      <c r="AB157" s="25"/>
      <c r="AC157" s="24">
        <f>'Student Enrollment Data'!BU158</f>
        <v>11</v>
      </c>
      <c r="AD157" s="24">
        <f t="shared" si="24"/>
        <v>32.700000000000003</v>
      </c>
      <c r="AE157" s="24">
        <f>AD157*'Front page'!$B$16</f>
        <v>0.65400000000000003</v>
      </c>
      <c r="AG157" s="6">
        <f>M157*'Front page'!$E$3</f>
        <v>1605477.349318509</v>
      </c>
      <c r="AH157" s="6">
        <f>N157*'Front page'!$E$3</f>
        <v>62844.373306657239</v>
      </c>
      <c r="AI157" s="6">
        <f>O157*'Front page'!$E$3</f>
        <v>0</v>
      </c>
      <c r="AJ157" s="6">
        <f>P157*'Front page'!$E$3</f>
        <v>21602.753324163426</v>
      </c>
      <c r="AK157" s="6">
        <f>Q157*'Front page'!$E$3</f>
        <v>45660.364980618149</v>
      </c>
      <c r="AL157" s="6">
        <f>S157*'Front page'!$E$3</f>
        <v>13597.512213923237</v>
      </c>
      <c r="AM157" s="5">
        <f>Z157*'Front page'!$E$3</f>
        <v>0</v>
      </c>
      <c r="AN157" s="6">
        <f>T157*'Front page'!$E$3</f>
        <v>3210.9546986370183</v>
      </c>
      <c r="AO157" s="6">
        <f>U157*'Front page'!$E$3</f>
        <v>0</v>
      </c>
      <c r="AP157" s="6">
        <f>W157*'Front page'!$E$3</f>
        <v>530554.64101551729</v>
      </c>
      <c r="AQ157" s="6">
        <f>V157*'Front page'!$E$3</f>
        <v>0</v>
      </c>
      <c r="AR157" s="6">
        <f>X157*'Front page'!$E$3</f>
        <v>0</v>
      </c>
      <c r="AS157" s="6">
        <f t="shared" si="25"/>
        <v>2282947.9488580255</v>
      </c>
      <c r="AT157" s="7">
        <f>IF(AS157&gt;'Funding Comparison'!D157*(1+'Front page'!$H$10),'Funding Comparison'!D157*(1+'Front page'!$H$10),AS157)</f>
        <v>2282947.9488580255</v>
      </c>
    </row>
    <row r="158" spans="1:46" s="27" customFormat="1">
      <c r="A158" s="27" t="str">
        <f t="shared" si="18"/>
        <v>495</v>
      </c>
      <c r="B158" s="27">
        <f t="shared" si="20"/>
        <v>495</v>
      </c>
      <c r="C158" s="15" t="s">
        <v>166</v>
      </c>
      <c r="D158">
        <f>IF(settings!$G$4=0,'Student Enrollment Data'!AX159,'Student Enrollment Data'!CK159)</f>
        <v>434</v>
      </c>
      <c r="E158">
        <f>IF(settings!$G$4=0,'Student Enrollment Data'!AY159,'Student Enrollment Data'!CL159)</f>
        <v>175</v>
      </c>
      <c r="F158">
        <f>IF(settings!$G$4=0,'Student Enrollment Data'!AZ159,'Student Enrollment Data'!CM159)</f>
        <v>0</v>
      </c>
      <c r="G158" s="28">
        <f>'Student Enrollment Data'!BK159</f>
        <v>24</v>
      </c>
      <c r="H158" s="27">
        <f>'Student Enrollment Data'!BF159</f>
        <v>199.93</v>
      </c>
      <c r="I158">
        <f>SUM('Student Enrollment Data'!R159:X159,'Student Enrollment Data'!AQ159:AW159)</f>
        <v>0</v>
      </c>
      <c r="J158" s="27">
        <f>'Student Enrollment Data'!BS159</f>
        <v>7</v>
      </c>
      <c r="K158">
        <f t="shared" si="21"/>
        <v>43.400000000000006</v>
      </c>
      <c r="L158" s="25"/>
      <c r="M158" s="27">
        <f t="shared" si="19"/>
        <v>434</v>
      </c>
      <c r="N158" s="27">
        <f>E158*'Front page'!$B$20</f>
        <v>17.5</v>
      </c>
      <c r="O158" s="27">
        <f>F158*'Front page'!$B$21</f>
        <v>0</v>
      </c>
      <c r="P158">
        <f>G158*'Front page'!$B$18</f>
        <v>2.4000000000000004</v>
      </c>
      <c r="Q158" s="27">
        <f>IF(settings!$B$4=0,Calculations!H158,Calculations!I158) *'Front page'!$B$11</f>
        <v>19.993000000000002</v>
      </c>
      <c r="R158" s="28">
        <f>ROUND(I158*'Front page'!$B$9,2)</f>
        <v>0</v>
      </c>
      <c r="S158" s="27">
        <f>J158*'Front page'!$B$14</f>
        <v>0.70000000000000007</v>
      </c>
      <c r="T158" s="81">
        <f>'Front page'!$B$16*Calculations!K158</f>
        <v>0.8680000000000001</v>
      </c>
      <c r="U158" s="81">
        <f>IF(settings!$B$13=0,(Calculations!M158*'Economic Adjustment'!O157)-Calculations!M158,0)</f>
        <v>0</v>
      </c>
      <c r="V158" s="154">
        <f>VLOOKUP(B158,'Remote School Building Weight'!$M$2:$P$174,3,FALSE)</f>
        <v>0</v>
      </c>
      <c r="W158" s="23">
        <f>'Small Dist Weight'!V157-Calculations!D158</f>
        <v>86.896551724137908</v>
      </c>
      <c r="X158" s="23">
        <f>IF(settings!$P$9=0,'Large District Weight'!H157*'Large District Weight'!G157,0)</f>
        <v>0</v>
      </c>
      <c r="Y158" s="23">
        <f t="shared" si="22"/>
        <v>562.35755172413792</v>
      </c>
      <c r="Z158" s="23">
        <f>IF(settings!$F$13=0,'Teacher Exp'!L158,0)</f>
        <v>0</v>
      </c>
      <c r="AA158" s="23">
        <f t="shared" si="23"/>
        <v>562.35755172413792</v>
      </c>
      <c r="AB158" s="25"/>
      <c r="AC158" s="24">
        <f>'Student Enrollment Data'!BU159</f>
        <v>0</v>
      </c>
      <c r="AD158" s="24">
        <f t="shared" si="24"/>
        <v>43.400000000000006</v>
      </c>
      <c r="AE158" s="24">
        <f>AD158*'Front page'!$B$16</f>
        <v>0.8680000000000001</v>
      </c>
      <c r="AG158" s="6">
        <f>M158*'Front page'!$E$3</f>
        <v>2130817.0324288467</v>
      </c>
      <c r="AH158" s="6">
        <f>N158*'Front page'!$E$3</f>
        <v>85920.041630195439</v>
      </c>
      <c r="AI158" s="6">
        <f>O158*'Front page'!$E$3</f>
        <v>0</v>
      </c>
      <c r="AJ158" s="6">
        <f>P158*'Front page'!$E$3</f>
        <v>11783.319994998234</v>
      </c>
      <c r="AK158" s="6">
        <f>Q158*'Front page'!$E$3</f>
        <v>98159.965274999864</v>
      </c>
      <c r="AL158" s="6">
        <f>S158*'Front page'!$E$3</f>
        <v>3436.8016652078177</v>
      </c>
      <c r="AM158" s="5">
        <f>Z158*'Front page'!$E$3</f>
        <v>0</v>
      </c>
      <c r="AN158" s="6">
        <f>T158*'Front page'!$E$3</f>
        <v>4261.6340648576943</v>
      </c>
      <c r="AO158" s="6">
        <f>U158*'Front page'!$E$3</f>
        <v>0</v>
      </c>
      <c r="AP158" s="6">
        <f>W158*'Front page'!$E$3</f>
        <v>426637.44809476344</v>
      </c>
      <c r="AQ158" s="6">
        <f>V158*'Front page'!$E$3</f>
        <v>0</v>
      </c>
      <c r="AR158" s="6">
        <f>X158*'Front page'!$E$3</f>
        <v>0</v>
      </c>
      <c r="AS158" s="6">
        <f t="shared" si="25"/>
        <v>2761016.2431538692</v>
      </c>
      <c r="AT158" s="7">
        <f>IF(AS158&gt;'Funding Comparison'!D158*(1+'Front page'!$H$10),'Funding Comparison'!D158*(1+'Front page'!$H$10),AS158)</f>
        <v>2761016.2431538692</v>
      </c>
    </row>
    <row r="159" spans="1:46" s="27" customFormat="1">
      <c r="A159" s="27" t="str">
        <f t="shared" si="18"/>
        <v>496</v>
      </c>
      <c r="B159" s="27">
        <f t="shared" si="20"/>
        <v>496</v>
      </c>
      <c r="C159" s="15" t="s">
        <v>167</v>
      </c>
      <c r="D159">
        <f>IF(settings!$G$4=0,'Student Enrollment Data'!AX160,'Student Enrollment Data'!CK160)</f>
        <v>172</v>
      </c>
      <c r="E159">
        <f>IF(settings!$G$4=0,'Student Enrollment Data'!AY160,'Student Enrollment Data'!CL160)</f>
        <v>86</v>
      </c>
      <c r="F159">
        <f>IF(settings!$G$4=0,'Student Enrollment Data'!AZ160,'Student Enrollment Data'!CM160)</f>
        <v>0</v>
      </c>
      <c r="G159" s="28">
        <f>'Student Enrollment Data'!BK160</f>
        <v>22</v>
      </c>
      <c r="H159" s="27">
        <f>'Student Enrollment Data'!BF160</f>
        <v>12</v>
      </c>
      <c r="I159">
        <f>SUM('Student Enrollment Data'!R160:X160,'Student Enrollment Data'!AQ160:AW160)</f>
        <v>0</v>
      </c>
      <c r="J159" s="27">
        <f>'Student Enrollment Data'!BS160</f>
        <v>0</v>
      </c>
      <c r="K159">
        <f t="shared" si="21"/>
        <v>17.2</v>
      </c>
      <c r="L159" s="25"/>
      <c r="M159" s="27">
        <f t="shared" si="19"/>
        <v>172</v>
      </c>
      <c r="N159" s="27">
        <f>E159*'Front page'!$B$20</f>
        <v>8.6</v>
      </c>
      <c r="O159" s="27">
        <f>F159*'Front page'!$B$21</f>
        <v>0</v>
      </c>
      <c r="P159">
        <f>G159*'Front page'!$B$18</f>
        <v>2.2000000000000002</v>
      </c>
      <c r="Q159" s="27">
        <f>IF(settings!$B$4=0,Calculations!H159,Calculations!I159) *'Front page'!$B$11</f>
        <v>1.2000000000000002</v>
      </c>
      <c r="R159" s="28">
        <f>ROUND(I159*'Front page'!$B$9,2)</f>
        <v>0</v>
      </c>
      <c r="S159" s="27">
        <f>J159*'Front page'!$B$14</f>
        <v>0</v>
      </c>
      <c r="T159" s="81">
        <f>'Front page'!$B$16*Calculations!K159</f>
        <v>0.34399999999999997</v>
      </c>
      <c r="U159" s="81">
        <f>IF(settings!$B$13=0,(Calculations!M159*'Economic Adjustment'!O158)-Calculations!M159,0)</f>
        <v>0</v>
      </c>
      <c r="V159" s="154">
        <f>VLOOKUP(B159,'Remote School Building Weight'!$M$2:$P$174,3,FALSE)</f>
        <v>0</v>
      </c>
      <c r="W159" s="23">
        <f>'Small Dist Weight'!V158-Calculations!D159</f>
        <v>43.234545454545469</v>
      </c>
      <c r="X159" s="23">
        <f>IF(settings!$P$9=0,'Large District Weight'!H158*'Large District Weight'!G158,0)</f>
        <v>0</v>
      </c>
      <c r="Y159" s="23">
        <f t="shared" si="22"/>
        <v>227.57854545454543</v>
      </c>
      <c r="Z159" s="23">
        <f>IF(settings!$F$13=0,'Teacher Exp'!L159,0)</f>
        <v>0</v>
      </c>
      <c r="AA159" s="23">
        <f t="shared" si="23"/>
        <v>227.57854545454543</v>
      </c>
      <c r="AB159" s="25"/>
      <c r="AC159" s="24">
        <f>'Student Enrollment Data'!BU160</f>
        <v>3</v>
      </c>
      <c r="AD159" s="24">
        <f t="shared" si="24"/>
        <v>17.2</v>
      </c>
      <c r="AE159" s="24">
        <f>AD159*'Front page'!$B$16</f>
        <v>0.34399999999999997</v>
      </c>
      <c r="AG159" s="6">
        <f>M159*'Front page'!$E$3</f>
        <v>844471.2663082066</v>
      </c>
      <c r="AH159" s="6">
        <f>N159*'Front page'!$E$3</f>
        <v>42223.563315410327</v>
      </c>
      <c r="AI159" s="6">
        <f>O159*'Front page'!$E$3</f>
        <v>0</v>
      </c>
      <c r="AJ159" s="6">
        <f>P159*'Front page'!$E$3</f>
        <v>10801.376662081713</v>
      </c>
      <c r="AK159" s="6">
        <f>Q159*'Front page'!$E$3</f>
        <v>5891.6599974991168</v>
      </c>
      <c r="AL159" s="6">
        <f>S159*'Front page'!$E$3</f>
        <v>0</v>
      </c>
      <c r="AM159" s="5">
        <f>Z159*'Front page'!$E$3</f>
        <v>0</v>
      </c>
      <c r="AN159" s="6">
        <f>T159*'Front page'!$E$3</f>
        <v>1688.942532616413</v>
      </c>
      <c r="AO159" s="6">
        <f>U159*'Front page'!$E$3</f>
        <v>0</v>
      </c>
      <c r="AP159" s="6">
        <f>W159*'Front page'!$E$3</f>
        <v>212269.36830383562</v>
      </c>
      <c r="AQ159" s="6">
        <f>V159*'Front page'!$E$3</f>
        <v>0</v>
      </c>
      <c r="AR159" s="6">
        <f>X159*'Front page'!$E$3</f>
        <v>0</v>
      </c>
      <c r="AS159" s="6">
        <f t="shared" si="25"/>
        <v>1117346.1771196497</v>
      </c>
      <c r="AT159" s="7">
        <f>IF(AS159&gt;'Funding Comparison'!D159*(1+'Front page'!$H$10),'Funding Comparison'!D159*(1+'Front page'!$H$10),AS159)</f>
        <v>1117346.1771196497</v>
      </c>
    </row>
    <row r="160" spans="1:46" s="27" customFormat="1">
      <c r="A160" s="27" t="str">
        <f t="shared" si="18"/>
        <v>497</v>
      </c>
      <c r="B160" s="27">
        <f t="shared" si="20"/>
        <v>497</v>
      </c>
      <c r="C160" s="15" t="s">
        <v>168</v>
      </c>
      <c r="D160">
        <f>IF(settings!$G$4=0,'Student Enrollment Data'!AX161,'Student Enrollment Data'!CK161)</f>
        <v>285</v>
      </c>
      <c r="E160">
        <f>IF(settings!$G$4=0,'Student Enrollment Data'!AY161,'Student Enrollment Data'!CL161)</f>
        <v>0</v>
      </c>
      <c r="F160">
        <f>IF(settings!$G$4=0,'Student Enrollment Data'!AZ161,'Student Enrollment Data'!CM161)</f>
        <v>285</v>
      </c>
      <c r="G160" s="28">
        <f>'Student Enrollment Data'!BK161</f>
        <v>11</v>
      </c>
      <c r="H160" s="27">
        <f>'Student Enrollment Data'!BF161</f>
        <v>122.54</v>
      </c>
      <c r="I160">
        <f>SUM('Student Enrollment Data'!R161:X161,'Student Enrollment Data'!AQ161:AW161)</f>
        <v>0</v>
      </c>
      <c r="J160" s="27">
        <f>'Student Enrollment Data'!BS161</f>
        <v>9.8578305146195788</v>
      </c>
      <c r="K160">
        <f t="shared" si="21"/>
        <v>28.5</v>
      </c>
      <c r="L160" s="25"/>
      <c r="M160" s="27">
        <f t="shared" si="19"/>
        <v>285</v>
      </c>
      <c r="N160" s="27">
        <f>E160*'Front page'!$B$20</f>
        <v>0</v>
      </c>
      <c r="O160" s="27">
        <f>F160*'Front page'!$B$21</f>
        <v>28.5</v>
      </c>
      <c r="P160">
        <f>G160*'Front page'!$B$18</f>
        <v>1.1000000000000001</v>
      </c>
      <c r="Q160" s="27">
        <f>IF(settings!$B$4=0,Calculations!H160,Calculations!I160) *'Front page'!$B$11</f>
        <v>12.254000000000001</v>
      </c>
      <c r="R160" s="28">
        <f>ROUND(I160*'Front page'!$B$9,2)</f>
        <v>0</v>
      </c>
      <c r="S160" s="27">
        <f>J160*'Front page'!$B$14</f>
        <v>0.98578305146195788</v>
      </c>
      <c r="T160" s="81">
        <f>'Front page'!$B$16*Calculations!K160</f>
        <v>0.57000000000000006</v>
      </c>
      <c r="U160" s="81">
        <f>IF(settings!$B$13=0,(Calculations!M160*'Economic Adjustment'!O159)-Calculations!M160,0)</f>
        <v>0</v>
      </c>
      <c r="V160" s="154">
        <f>VLOOKUP(B160,'Remote School Building Weight'!$M$2:$P$174,3,FALSE)</f>
        <v>0</v>
      </c>
      <c r="W160" s="23">
        <f>'Small Dist Weight'!V159-Calculations!D160</f>
        <v>152.20474137931035</v>
      </c>
      <c r="X160" s="23">
        <f>IF(settings!$P$9=0,'Large District Weight'!H159*'Large District Weight'!G159,0)</f>
        <v>0</v>
      </c>
      <c r="Y160" s="23">
        <f t="shared" si="22"/>
        <v>480.61452443077235</v>
      </c>
      <c r="Z160" s="23">
        <f>IF(settings!$F$13=0,'Teacher Exp'!L160,0)</f>
        <v>0</v>
      </c>
      <c r="AA160" s="23">
        <f t="shared" si="23"/>
        <v>480.61452443077235</v>
      </c>
      <c r="AB160" s="25"/>
      <c r="AC160" s="24">
        <f>'Student Enrollment Data'!BU161</f>
        <v>0</v>
      </c>
      <c r="AD160" s="24">
        <f t="shared" si="24"/>
        <v>28.5</v>
      </c>
      <c r="AE160" s="24">
        <f>AD160*'Front page'!$B$16</f>
        <v>0.57000000000000006</v>
      </c>
      <c r="AG160" s="6">
        <f>M160*'Front page'!$E$3</f>
        <v>1399269.2494060399</v>
      </c>
      <c r="AH160" s="6">
        <f>N160*'Front page'!$E$3</f>
        <v>0</v>
      </c>
      <c r="AI160" s="6">
        <f>O160*'Front page'!$E$3</f>
        <v>139926.92494060399</v>
      </c>
      <c r="AJ160" s="6">
        <f>P160*'Front page'!$E$3</f>
        <v>5400.6883310408566</v>
      </c>
      <c r="AK160" s="6">
        <f>Q160*'Front page'!$E$3</f>
        <v>60163.668007795146</v>
      </c>
      <c r="AL160" s="6">
        <f>S160*'Front page'!$E$3</f>
        <v>4839.9154754258579</v>
      </c>
      <c r="AM160" s="5">
        <f>Z160*'Front page'!$E$3</f>
        <v>0</v>
      </c>
      <c r="AN160" s="6">
        <f>T160*'Front page'!$E$3</f>
        <v>2798.5384988120804</v>
      </c>
      <c r="AO160" s="6">
        <f>U160*'Front page'!$E$3</f>
        <v>0</v>
      </c>
      <c r="AP160" s="6">
        <f>W160*'Front page'!$E$3</f>
        <v>747282.15517848427</v>
      </c>
      <c r="AQ160" s="6">
        <f>V160*'Front page'!$E$3</f>
        <v>0</v>
      </c>
      <c r="AR160" s="6">
        <f>X160*'Front page'!$E$3</f>
        <v>0</v>
      </c>
      <c r="AS160" s="6">
        <f t="shared" si="25"/>
        <v>2359681.1398382019</v>
      </c>
      <c r="AT160" s="7">
        <f>IF(AS160&gt;'Funding Comparison'!D160*(1+'Front page'!$H$10),'Funding Comparison'!D160*(1+'Front page'!$H$10),AS160)</f>
        <v>2359681.1398382019</v>
      </c>
    </row>
    <row r="161" spans="1:46" s="27" customFormat="1">
      <c r="A161" s="27">
        <v>498</v>
      </c>
      <c r="B161" s="27">
        <f t="shared" si="20"/>
        <v>498</v>
      </c>
      <c r="C161" s="27" t="s">
        <v>603</v>
      </c>
      <c r="D161">
        <f>IF(settings!$G$4=0,'Student Enrollment Data'!AX162,'Student Enrollment Data'!CK162)</f>
        <v>245</v>
      </c>
      <c r="E161">
        <f>IF(settings!$G$4=0,'Student Enrollment Data'!AY162,'Student Enrollment Data'!CL162)</f>
        <v>144</v>
      </c>
      <c r="F161">
        <f>IF(settings!$G$4=0,'Student Enrollment Data'!AZ162,'Student Enrollment Data'!CM162)</f>
        <v>0</v>
      </c>
      <c r="G161" s="28">
        <f>'Student Enrollment Data'!BK162</f>
        <v>30.395429030872521</v>
      </c>
      <c r="H161" s="27">
        <f>'Student Enrollment Data'!BF162</f>
        <v>115.66</v>
      </c>
      <c r="I161">
        <f>SUM('Student Enrollment Data'!R162:X162,'Student Enrollment Data'!AQ162:AW162)</f>
        <v>0</v>
      </c>
      <c r="J161" s="27">
        <f>'Student Enrollment Data'!BS162</f>
        <v>22.004897444641362</v>
      </c>
      <c r="K161">
        <f t="shared" ref="K161:K165" si="26">M161*0.1</f>
        <v>24.5</v>
      </c>
      <c r="L161" s="25"/>
      <c r="M161" s="27">
        <f t="shared" ref="M161:M165" si="27">MAX(D161,30)</f>
        <v>245</v>
      </c>
      <c r="N161" s="27">
        <f>E161*'Front page'!$B$20</f>
        <v>14.4</v>
      </c>
      <c r="O161" s="27">
        <f>F161*'Front page'!$B$21</f>
        <v>0</v>
      </c>
      <c r="P161">
        <f>G161*'Front page'!$B$18</f>
        <v>3.0395429030872521</v>
      </c>
      <c r="Q161" s="27">
        <f>IF(settings!$B$4=0,Calculations!H161,Calculations!I161) *'Front page'!$B$11</f>
        <v>11.566000000000001</v>
      </c>
      <c r="R161" s="28">
        <f>ROUND(I161*'Front page'!$B$9,2)</f>
        <v>0</v>
      </c>
      <c r="S161" s="27">
        <f>J161*'Front page'!$B$14</f>
        <v>2.2004897444641363</v>
      </c>
      <c r="T161" s="81">
        <f>'Front page'!$B$16*Calculations!K161</f>
        <v>0.49</v>
      </c>
      <c r="U161" s="81">
        <f>IF(settings!$B$13=0,(Calculations!M161*'Economic Adjustment'!O160)-Calculations!M161,0)</f>
        <v>0</v>
      </c>
      <c r="V161" s="154">
        <f>VLOOKUP(B161,'Remote School Building Weight'!$M$2:$P$174,3,FALSE)</f>
        <v>0</v>
      </c>
      <c r="W161" s="23">
        <f>'Small Dist Weight'!V160-Calculations!D161</f>
        <v>33.130681818181813</v>
      </c>
      <c r="X161" s="23">
        <f>IF(settings!$P$9=0,'Large District Weight'!H165*'Large District Weight'!G165,0)</f>
        <v>0</v>
      </c>
      <c r="Y161" s="23">
        <f t="shared" si="22"/>
        <v>309.82671446573318</v>
      </c>
      <c r="Z161" s="23">
        <f>IF(settings!$F$13=0,'Teacher Exp'!L161,0)</f>
        <v>0</v>
      </c>
      <c r="AA161" s="23">
        <f t="shared" si="23"/>
        <v>309.82671446573318</v>
      </c>
      <c r="AB161" s="25"/>
      <c r="AC161" s="24">
        <f>'Student Enrollment Data'!BU162</f>
        <v>0</v>
      </c>
      <c r="AD161" s="24">
        <f t="shared" ref="AD161:AD165" si="28">M161*0.1</f>
        <v>24.5</v>
      </c>
      <c r="AE161" s="24">
        <f>AD161*'Front page'!$B$16</f>
        <v>0.49</v>
      </c>
      <c r="AG161" s="6">
        <f>M161*'Front page'!$E$3</f>
        <v>1202880.5828227361</v>
      </c>
      <c r="AH161" s="6">
        <f>N161*'Front page'!$E$3</f>
        <v>70699.919969989394</v>
      </c>
      <c r="AI161" s="6">
        <f>O161*'Front page'!$E$3</f>
        <v>0</v>
      </c>
      <c r="AJ161" s="6">
        <f>P161*'Front page'!$E$3</f>
        <v>14923.294444001245</v>
      </c>
      <c r="AK161" s="6">
        <f>Q161*'Front page'!$E$3</f>
        <v>56785.782942562313</v>
      </c>
      <c r="AL161" s="6">
        <f>S161*'Front page'!$E$3</f>
        <v>10803.781168638669</v>
      </c>
      <c r="AM161" s="5">
        <f>Z161*'Front page'!$E$3</f>
        <v>0</v>
      </c>
      <c r="AN161" s="6">
        <f>T161*'Front page'!$E$3</f>
        <v>2405.7611656454724</v>
      </c>
      <c r="AO161" s="6">
        <f>U161*'Front page'!$E$3</f>
        <v>0</v>
      </c>
      <c r="AP161" s="6">
        <f>W161*'Front page'!$E$3</f>
        <v>162662.26063171087</v>
      </c>
      <c r="AQ161" s="6">
        <f>V161*'Front page'!$E$3</f>
        <v>0</v>
      </c>
      <c r="AR161" s="6">
        <f>X161*'Front page'!$E$3</f>
        <v>0</v>
      </c>
      <c r="AS161" s="6">
        <f t="shared" ref="AS161:AS165" si="29">SUM(AG161:AR161)</f>
        <v>1521161.3831452844</v>
      </c>
      <c r="AT161" s="7">
        <f>IF(AS161&gt;'Funding Comparison'!D166*(1+'Front page'!$H$10),'Funding Comparison'!D166*(1+'Front page'!$H$10),AS161)</f>
        <v>1521161.3831452844</v>
      </c>
    </row>
    <row r="162" spans="1:46" s="27" customFormat="1">
      <c r="A162" s="27">
        <v>499</v>
      </c>
      <c r="B162" s="27">
        <f t="shared" si="20"/>
        <v>499</v>
      </c>
      <c r="C162" s="27" t="s">
        <v>604</v>
      </c>
      <c r="D162">
        <f>IF(settings!$G$4=0,'Student Enrollment Data'!AX163,'Student Enrollment Data'!CK163)</f>
        <v>197</v>
      </c>
      <c r="E162">
        <f>IF(settings!$G$4=0,'Student Enrollment Data'!AY163,'Student Enrollment Data'!CL163)</f>
        <v>197</v>
      </c>
      <c r="F162">
        <f>IF(settings!$G$4=0,'Student Enrollment Data'!AZ163,'Student Enrollment Data'!CM163)</f>
        <v>0</v>
      </c>
      <c r="G162" s="28">
        <f>'Student Enrollment Data'!BK163</f>
        <v>24.44040620033423</v>
      </c>
      <c r="H162" s="27">
        <f>'Student Enrollment Data'!BF163</f>
        <v>97.6</v>
      </c>
      <c r="I162">
        <f>SUM('Student Enrollment Data'!R163:X163,'Student Enrollment Data'!AQ163:AW163)</f>
        <v>0</v>
      </c>
      <c r="J162" s="27">
        <f>'Student Enrollment Data'!BS163</f>
        <v>17.693733863650401</v>
      </c>
      <c r="K162">
        <f t="shared" si="26"/>
        <v>19.700000000000003</v>
      </c>
      <c r="L162" s="25"/>
      <c r="M162" s="27">
        <f t="shared" si="27"/>
        <v>197</v>
      </c>
      <c r="N162" s="27">
        <f>E162*'Front page'!$B$20</f>
        <v>19.700000000000003</v>
      </c>
      <c r="O162" s="27">
        <f>F162*'Front page'!$B$21</f>
        <v>0</v>
      </c>
      <c r="P162">
        <f>G162*'Front page'!$B$18</f>
        <v>2.444040620033423</v>
      </c>
      <c r="Q162" s="27">
        <f>IF(settings!$B$4=0,Calculations!H162,Calculations!I162) *'Front page'!$B$11</f>
        <v>9.76</v>
      </c>
      <c r="R162" s="28">
        <f>ROUND(I162*'Front page'!$B$9,2)</f>
        <v>0</v>
      </c>
      <c r="S162" s="27">
        <f>J162*'Front page'!$B$14</f>
        <v>1.7693733863650403</v>
      </c>
      <c r="T162" s="81">
        <f>'Front page'!$B$16*Calculations!K162</f>
        <v>0.39400000000000007</v>
      </c>
      <c r="U162" s="81">
        <f>IF(settings!$B$13=0,(Calculations!M162*'Economic Adjustment'!O161)-Calculations!M162,0)</f>
        <v>0</v>
      </c>
      <c r="V162" s="154">
        <f>VLOOKUP(B162,'Remote School Building Weight'!$M$2:$P$174,3,FALSE)</f>
        <v>0</v>
      </c>
      <c r="W162" s="23">
        <f>'Small Dist Weight'!V161-Calculations!D162</f>
        <v>41.683409090909095</v>
      </c>
      <c r="X162" s="23">
        <f>IF(settings!$P$9=0,'Large District Weight'!H166*'Large District Weight'!G166,0)</f>
        <v>0</v>
      </c>
      <c r="Y162" s="23">
        <f t="shared" si="22"/>
        <v>272.75082309730755</v>
      </c>
      <c r="Z162" s="23">
        <f>IF(settings!$F$13=0,'Teacher Exp'!L162,0)</f>
        <v>0</v>
      </c>
      <c r="AA162" s="23">
        <f t="shared" si="23"/>
        <v>272.75082309730755</v>
      </c>
      <c r="AB162" s="25"/>
      <c r="AC162" s="24">
        <f>'Student Enrollment Data'!BU163</f>
        <v>0</v>
      </c>
      <c r="AD162" s="24">
        <f t="shared" si="28"/>
        <v>19.700000000000003</v>
      </c>
      <c r="AE162" s="24">
        <f>AD162*'Front page'!$B$16</f>
        <v>0.39400000000000007</v>
      </c>
      <c r="AG162" s="6">
        <f>M162*'Front page'!$E$3</f>
        <v>967214.18292277155</v>
      </c>
      <c r="AH162" s="6">
        <f>N162*'Front page'!$E$3</f>
        <v>96721.418292277158</v>
      </c>
      <c r="AI162" s="6">
        <f>O162*'Front page'!$E$3</f>
        <v>0</v>
      </c>
      <c r="AJ162" s="6">
        <f>P162*'Front page'!$E$3</f>
        <v>11999.546961094878</v>
      </c>
      <c r="AK162" s="6">
        <f>Q162*'Front page'!$E$3</f>
        <v>47918.834646326141</v>
      </c>
      <c r="AL162" s="6">
        <f>S162*'Front page'!$E$3</f>
        <v>8687.1220009053795</v>
      </c>
      <c r="AM162" s="5">
        <f>Z162*'Front page'!$E$3</f>
        <v>0</v>
      </c>
      <c r="AN162" s="6">
        <f>T162*'Front page'!$E$3</f>
        <v>1934.4283658455433</v>
      </c>
      <c r="AO162" s="6">
        <f>U162*'Front page'!$E$3</f>
        <v>0</v>
      </c>
      <c r="AP162" s="6">
        <f>W162*'Front page'!$E$3</f>
        <v>204653.72825025007</v>
      </c>
      <c r="AQ162" s="6">
        <f>V162*'Front page'!$E$3</f>
        <v>0</v>
      </c>
      <c r="AR162" s="6">
        <f>X162*'Front page'!$E$3</f>
        <v>0</v>
      </c>
      <c r="AS162" s="6">
        <f t="shared" si="29"/>
        <v>1339129.2614394708</v>
      </c>
      <c r="AT162" s="7">
        <f>IF(AS162&gt;'Funding Comparison'!D167*(1+'Front page'!$H$10),'Funding Comparison'!D167*(1+'Front page'!$H$10),AS162)</f>
        <v>1339129.2614394708</v>
      </c>
    </row>
    <row r="163" spans="1:46" s="27" customFormat="1">
      <c r="A163" s="27">
        <v>511</v>
      </c>
      <c r="B163" s="27">
        <f t="shared" si="20"/>
        <v>511</v>
      </c>
      <c r="C163" s="27" t="s">
        <v>605</v>
      </c>
      <c r="D163">
        <f>IF(settings!$G$4=0,'Student Enrollment Data'!AX164,'Student Enrollment Data'!CK164)</f>
        <v>248.5</v>
      </c>
      <c r="E163">
        <f>IF(settings!$G$4=0,'Student Enrollment Data'!AY164,'Student Enrollment Data'!CL164)</f>
        <v>177.5</v>
      </c>
      <c r="F163">
        <f>IF(settings!$G$4=0,'Student Enrollment Data'!AZ164,'Student Enrollment Data'!CM164)</f>
        <v>0</v>
      </c>
      <c r="G163" s="28">
        <f>'Student Enrollment Data'!BK164</f>
        <v>30.829649445599269</v>
      </c>
      <c r="H163" s="27">
        <f>'Student Enrollment Data'!BF164</f>
        <v>118.67</v>
      </c>
      <c r="I163">
        <f>SUM('Student Enrollment Data'!R164:X164,'Student Enrollment Data'!AQ164:AW164)</f>
        <v>0</v>
      </c>
      <c r="J163" s="27">
        <f>'Student Enrollment Data'!BS164</f>
        <v>22.319253122421955</v>
      </c>
      <c r="K163">
        <f t="shared" si="26"/>
        <v>24.85</v>
      </c>
      <c r="L163" s="25"/>
      <c r="M163" s="27">
        <f t="shared" si="27"/>
        <v>248.5</v>
      </c>
      <c r="N163" s="27">
        <f>E163*'Front page'!$B$20</f>
        <v>17.75</v>
      </c>
      <c r="O163" s="27">
        <f>F163*'Front page'!$B$21</f>
        <v>0</v>
      </c>
      <c r="P163">
        <f>G163*'Front page'!$B$18</f>
        <v>3.0829649445599272</v>
      </c>
      <c r="Q163" s="27">
        <f>IF(settings!$B$4=0,Calculations!H163,Calculations!I163) *'Front page'!$B$11</f>
        <v>11.867000000000001</v>
      </c>
      <c r="R163" s="28">
        <f>ROUND(I163*'Front page'!$B$9,2)</f>
        <v>0</v>
      </c>
      <c r="S163" s="27">
        <f>J163*'Front page'!$B$14</f>
        <v>2.2319253122421956</v>
      </c>
      <c r="T163" s="81">
        <f>'Front page'!$B$16*Calculations!K163</f>
        <v>0.49700000000000005</v>
      </c>
      <c r="U163" s="81">
        <f>IF(settings!$B$13=0,(Calculations!M163*'Economic Adjustment'!O162)-Calculations!M163,0)</f>
        <v>0</v>
      </c>
      <c r="V163" s="154">
        <f>VLOOKUP(B163,'Remote School Building Weight'!$M$2:$P$174,3,FALSE)</f>
        <v>0</v>
      </c>
      <c r="W163" s="23">
        <f>'Small Dist Weight'!V162-Calculations!D163</f>
        <v>32.220284090909161</v>
      </c>
      <c r="X163" s="23">
        <f>IF(settings!$P$9=0,'Large District Weight'!H167*'Large District Weight'!G167,0)</f>
        <v>0</v>
      </c>
      <c r="Y163" s="23">
        <f t="shared" si="22"/>
        <v>316.14917434771132</v>
      </c>
      <c r="Z163" s="23">
        <f>IF(settings!$F$13=0,'Teacher Exp'!L163,0)</f>
        <v>0</v>
      </c>
      <c r="AA163" s="23">
        <f t="shared" si="23"/>
        <v>316.14917434771132</v>
      </c>
      <c r="AB163" s="25"/>
      <c r="AC163" s="24">
        <f>'Student Enrollment Data'!BU164</f>
        <v>0</v>
      </c>
      <c r="AD163" s="24">
        <f t="shared" si="28"/>
        <v>24.85</v>
      </c>
      <c r="AE163" s="24">
        <f>AD163*'Front page'!$B$16</f>
        <v>0.49700000000000005</v>
      </c>
      <c r="AG163" s="6">
        <f>M163*'Front page'!$E$3</f>
        <v>1220064.5911487753</v>
      </c>
      <c r="AH163" s="6">
        <f>N163*'Front page'!$E$3</f>
        <v>87147.470796341091</v>
      </c>
      <c r="AI163" s="6">
        <f>O163*'Front page'!$E$3</f>
        <v>0</v>
      </c>
      <c r="AJ163" s="6">
        <f>P163*'Front page'!$E$3</f>
        <v>15136.484364629836</v>
      </c>
      <c r="AK163" s="6">
        <f>Q163*'Front page'!$E$3</f>
        <v>58263.607658601679</v>
      </c>
      <c r="AL163" s="6">
        <f>S163*'Front page'!$E$3</f>
        <v>10958.120899619222</v>
      </c>
      <c r="AM163" s="5">
        <f>Z163*'Front page'!$E$3</f>
        <v>0</v>
      </c>
      <c r="AN163" s="6">
        <f>T163*'Front page'!$E$3</f>
        <v>2440.1291822975509</v>
      </c>
      <c r="AO163" s="6">
        <f>U163*'Front page'!$E$3</f>
        <v>0</v>
      </c>
      <c r="AP163" s="6">
        <f>W163*'Front page'!$E$3</f>
        <v>158192.46573872221</v>
      </c>
      <c r="AQ163" s="6">
        <f>V163*'Front page'!$E$3</f>
        <v>0</v>
      </c>
      <c r="AR163" s="6">
        <f>X163*'Front page'!$E$3</f>
        <v>0</v>
      </c>
      <c r="AS163" s="6">
        <f t="shared" si="29"/>
        <v>1552202.8697889866</v>
      </c>
      <c r="AT163" s="7">
        <f>IF(AS163&gt;'Funding Comparison'!D168*(1+'Front page'!$H$10),'Funding Comparison'!D168*(1+'Front page'!$H$10),AS163)</f>
        <v>1552202.8697889866</v>
      </c>
    </row>
    <row r="164" spans="1:46" s="27" customFormat="1">
      <c r="A164" s="27">
        <v>513</v>
      </c>
      <c r="B164" s="27">
        <f t="shared" si="20"/>
        <v>513</v>
      </c>
      <c r="C164" s="27" t="s">
        <v>606</v>
      </c>
      <c r="D164">
        <f>IF(settings!$G$4=0,'Student Enrollment Data'!AX165,'Student Enrollment Data'!CK165)</f>
        <v>241.5</v>
      </c>
      <c r="E164">
        <f>IF(settings!$G$4=0,'Student Enrollment Data'!AY165,'Student Enrollment Data'!CL165)</f>
        <v>96.5</v>
      </c>
      <c r="F164">
        <f>IF(settings!$G$4=0,'Student Enrollment Data'!AZ165,'Student Enrollment Data'!CM165)</f>
        <v>23</v>
      </c>
      <c r="G164" s="28">
        <f>'Student Enrollment Data'!BK165</f>
        <v>29.961208616145768</v>
      </c>
      <c r="H164" s="27">
        <f>'Student Enrollment Data'!BF165</f>
        <v>65</v>
      </c>
      <c r="I164">
        <f>SUM('Student Enrollment Data'!R165:X165,'Student Enrollment Data'!AQ165:AW165)</f>
        <v>0</v>
      </c>
      <c r="J164" s="27">
        <f>'Student Enrollment Data'!BS165</f>
        <v>21.690541766860772</v>
      </c>
      <c r="K164">
        <f t="shared" si="26"/>
        <v>24.150000000000002</v>
      </c>
      <c r="L164" s="25"/>
      <c r="M164" s="27">
        <f t="shared" si="27"/>
        <v>241.5</v>
      </c>
      <c r="N164" s="27">
        <f>E164*'Front page'!$B$20</f>
        <v>9.65</v>
      </c>
      <c r="O164" s="27">
        <f>F164*'Front page'!$B$21</f>
        <v>2.3000000000000003</v>
      </c>
      <c r="P164">
        <f>G164*'Front page'!$B$18</f>
        <v>2.9961208616145769</v>
      </c>
      <c r="Q164" s="27">
        <f>IF(settings!$B$4=0,Calculations!H164,Calculations!I164) *'Front page'!$B$11</f>
        <v>6.5</v>
      </c>
      <c r="R164" s="28">
        <f>ROUND(I164*'Front page'!$B$9,2)</f>
        <v>0</v>
      </c>
      <c r="S164" s="27">
        <f>J164*'Front page'!$B$14</f>
        <v>2.1690541766860774</v>
      </c>
      <c r="T164" s="81">
        <f>'Front page'!$B$16*Calculations!K164</f>
        <v>0.48300000000000004</v>
      </c>
      <c r="U164" s="81">
        <f>IF(settings!$B$13=0,(Calculations!M164*'Economic Adjustment'!O163)-Calculations!M164,0)</f>
        <v>0</v>
      </c>
      <c r="V164" s="154">
        <f>VLOOKUP(B164,'Remote School Building Weight'!$M$2:$P$174,3,FALSE)</f>
        <v>0</v>
      </c>
      <c r="W164" s="23">
        <f>'Small Dist Weight'!V163-Calculations!D164</f>
        <v>91.119304467084703</v>
      </c>
      <c r="X164" s="23">
        <f>IF(settings!$P$9=0,'Large District Weight'!H168*'Large District Weight'!G168,0)</f>
        <v>0</v>
      </c>
      <c r="Y164" s="23">
        <f t="shared" si="22"/>
        <v>356.71747950538537</v>
      </c>
      <c r="Z164" s="23">
        <f>IF(settings!$F$13=0,'Teacher Exp'!L164,0)</f>
        <v>0</v>
      </c>
      <c r="AA164" s="23">
        <f t="shared" si="23"/>
        <v>356.71747950538537</v>
      </c>
      <c r="AB164" s="25"/>
      <c r="AC164" s="24">
        <f>'Student Enrollment Data'!BU165</f>
        <v>0</v>
      </c>
      <c r="AD164" s="24">
        <f t="shared" si="28"/>
        <v>24.150000000000002</v>
      </c>
      <c r="AE164" s="24">
        <f>AD164*'Front page'!$B$16</f>
        <v>0.48300000000000004</v>
      </c>
      <c r="AG164" s="6">
        <f>M164*'Front page'!$E$3</f>
        <v>1185696.5744966969</v>
      </c>
      <c r="AH164" s="6">
        <f>N164*'Front page'!$E$3</f>
        <v>47378.76581322206</v>
      </c>
      <c r="AI164" s="6">
        <f>O164*'Front page'!$E$3</f>
        <v>11292.348328539972</v>
      </c>
      <c r="AJ164" s="6">
        <f>P164*'Front page'!$E$3</f>
        <v>14710.104523372656</v>
      </c>
      <c r="AK164" s="6">
        <f>Q164*'Front page'!$E$3</f>
        <v>31913.158319786875</v>
      </c>
      <c r="AL164" s="6">
        <f>S164*'Front page'!$E$3</f>
        <v>10649.441437658117</v>
      </c>
      <c r="AM164" s="5">
        <f>Z164*'Front page'!$E$3</f>
        <v>0</v>
      </c>
      <c r="AN164" s="6">
        <f>T164*'Front page'!$E$3</f>
        <v>2371.3931489933943</v>
      </c>
      <c r="AO164" s="6">
        <f>U164*'Front page'!$E$3</f>
        <v>0</v>
      </c>
      <c r="AP164" s="6">
        <f>W164*'Front page'!$E$3</f>
        <v>447369.96760722116</v>
      </c>
      <c r="AQ164" s="6">
        <f>V164*'Front page'!$E$3</f>
        <v>0</v>
      </c>
      <c r="AR164" s="6">
        <f>X164*'Front page'!$E$3</f>
        <v>0</v>
      </c>
      <c r="AS164" s="6">
        <f t="shared" si="29"/>
        <v>1751381.7536754911</v>
      </c>
      <c r="AT164" s="7">
        <f>IF(AS164&gt;'Funding Comparison'!D169*(1+'Front page'!$H$10),'Funding Comparison'!D169*(1+'Front page'!$H$10),AS164)</f>
        <v>1751381.7536754911</v>
      </c>
    </row>
    <row r="165" spans="1:46" s="27" customFormat="1">
      <c r="A165" s="27">
        <v>518</v>
      </c>
      <c r="B165" s="27">
        <f t="shared" si="20"/>
        <v>518</v>
      </c>
      <c r="C165" s="195" t="s">
        <v>596</v>
      </c>
      <c r="D165">
        <f>IF(settings!$G$4=0,'Student Enrollment Data'!AX166,'Student Enrollment Data'!CK166)</f>
        <v>202</v>
      </c>
      <c r="E165">
        <f>IF(settings!$G$4=0,'Student Enrollment Data'!AY166,'Student Enrollment Data'!CL166)</f>
        <v>0</v>
      </c>
      <c r="F165">
        <f>IF(settings!$G$4=0,'Student Enrollment Data'!AZ166,'Student Enrollment Data'!CM166)</f>
        <v>202</v>
      </c>
      <c r="G165" s="28">
        <f>'Student Enrollment Data'!BK166</f>
        <v>25.0607210785153</v>
      </c>
      <c r="H165" s="27">
        <f>'Student Enrollment Data'!BF166</f>
        <v>86.85</v>
      </c>
      <c r="I165">
        <f>SUM('Student Enrollment Data'!R166:X166,'Student Enrollment Data'!AQ166:AW166)</f>
        <v>0</v>
      </c>
      <c r="J165" s="27">
        <f>'Student Enrollment Data'!BS166</f>
        <v>18.142813403336962</v>
      </c>
      <c r="K165">
        <f t="shared" si="26"/>
        <v>20.200000000000003</v>
      </c>
      <c r="L165" s="25"/>
      <c r="M165" s="27">
        <f t="shared" si="27"/>
        <v>202</v>
      </c>
      <c r="N165" s="27">
        <f>E165*'Front page'!$B$20</f>
        <v>0</v>
      </c>
      <c r="O165" s="27">
        <f>F165*'Front page'!$B$21</f>
        <v>20.200000000000003</v>
      </c>
      <c r="P165">
        <f>G165*'Front page'!$B$18</f>
        <v>2.50607210785153</v>
      </c>
      <c r="Q165" s="27">
        <f>IF(settings!$B$4=0,Calculations!H165,Calculations!I165) *'Front page'!$B$11</f>
        <v>8.6850000000000005</v>
      </c>
      <c r="R165" s="28">
        <f>ROUND(I165*'Front page'!$B$9,2)</f>
        <v>0</v>
      </c>
      <c r="S165" s="27">
        <f>J165*'Front page'!$B$14</f>
        <v>1.8142813403336964</v>
      </c>
      <c r="T165" s="81">
        <f>'Front page'!$B$16*Calculations!K165</f>
        <v>0.40400000000000008</v>
      </c>
      <c r="U165" s="81">
        <f>IF(settings!$B$13=0,(Calculations!M165*'Economic Adjustment'!O164)-Calculations!M165,0)</f>
        <v>0</v>
      </c>
      <c r="V165" s="154">
        <f>VLOOKUP(B165,'Remote School Building Weight'!$M$2:$P$174,3,FALSE)</f>
        <v>0</v>
      </c>
      <c r="W165" s="23">
        <f>'Small Dist Weight'!V164-Calculations!D165</f>
        <v>138.2306896551724</v>
      </c>
      <c r="X165" s="23">
        <f>IF(settings!$P$9=0,'Large District Weight'!H169*'Large District Weight'!G169,0)</f>
        <v>0</v>
      </c>
      <c r="Y165" s="23">
        <f t="shared" si="22"/>
        <v>373.84004310335763</v>
      </c>
      <c r="Z165" s="23">
        <f>IF(settings!$F$13=0,'Teacher Exp'!L165,0)</f>
        <v>0</v>
      </c>
      <c r="AA165" s="23">
        <f t="shared" si="23"/>
        <v>373.84004310335763</v>
      </c>
      <c r="AB165" s="25"/>
      <c r="AC165" s="24">
        <f>'Student Enrollment Data'!BU166</f>
        <v>0</v>
      </c>
      <c r="AD165" s="24">
        <f t="shared" si="28"/>
        <v>20.200000000000003</v>
      </c>
      <c r="AE165" s="24">
        <f>AD165*'Front page'!$B$16</f>
        <v>0.40400000000000008</v>
      </c>
      <c r="AG165" s="6">
        <f>M165*'Front page'!$E$3</f>
        <v>991762.76624568447</v>
      </c>
      <c r="AH165" s="6">
        <f>N165*'Front page'!$E$3</f>
        <v>0</v>
      </c>
      <c r="AI165" s="6">
        <f>O165*'Front page'!$E$3</f>
        <v>99176.276624568462</v>
      </c>
      <c r="AJ165" s="6">
        <f>P165*'Front page'!$E$3</f>
        <v>12304.10399056429</v>
      </c>
      <c r="AK165" s="6">
        <f>Q165*'Front page'!$E$3</f>
        <v>42640.889231899855</v>
      </c>
      <c r="AL165" s="6">
        <f>S165*'Front page'!$E$3</f>
        <v>8907.6073308775976</v>
      </c>
      <c r="AM165" s="5">
        <f>Z165*'Front page'!$E$3</f>
        <v>0</v>
      </c>
      <c r="AN165" s="6">
        <f>T165*'Front page'!$E$3</f>
        <v>1983.5255324913694</v>
      </c>
      <c r="AO165" s="6">
        <f>U165*'Front page'!$E$3</f>
        <v>0</v>
      </c>
      <c r="AP165" s="6">
        <f>W165*'Front page'!$E$3</f>
        <v>678673.520556745</v>
      </c>
      <c r="AQ165" s="6">
        <f>V165*'Front page'!$E$3</f>
        <v>0</v>
      </c>
      <c r="AR165" s="6">
        <f>X165*'Front page'!$E$3</f>
        <v>0</v>
      </c>
      <c r="AS165" s="6">
        <f t="shared" si="29"/>
        <v>1835448.6895128307</v>
      </c>
      <c r="AT165" s="7">
        <f>IF(AS165&gt;'Funding Comparison'!D170*(1+'Front page'!$H$10),'Funding Comparison'!D170*(1+'Front page'!$H$10),AS165)</f>
        <v>1835448.6895128307</v>
      </c>
    </row>
    <row r="166" spans="1:46" s="27" customFormat="1">
      <c r="A166" s="27" t="str">
        <f t="shared" si="18"/>
        <v>555</v>
      </c>
      <c r="B166" s="27">
        <f t="shared" si="20"/>
        <v>555</v>
      </c>
      <c r="C166" s="15" t="s">
        <v>169</v>
      </c>
      <c r="D166">
        <f>IF(settings!$G$4=0,'Student Enrollment Data'!AX167,'Student Enrollment Data'!CK167)</f>
        <v>134.89950980392157</v>
      </c>
      <c r="E166">
        <f>IF(settings!$G$4=0,'Student Enrollment Data'!AY167,'Student Enrollment Data'!CL167)</f>
        <v>0</v>
      </c>
      <c r="F166">
        <f>IF(settings!$G$4=0,'Student Enrollment Data'!AZ167,'Student Enrollment Data'!CM167)</f>
        <v>122.40049019607844</v>
      </c>
      <c r="G166" s="28">
        <f>'Student Enrollment Data'!BK167</f>
        <v>27</v>
      </c>
      <c r="H166" s="27">
        <f>'Student Enrollment Data'!BF167</f>
        <v>54.61</v>
      </c>
      <c r="I166">
        <f>SUM('Student Enrollment Data'!R167:X167,'Student Enrollment Data'!AQ167:AW167)</f>
        <v>139.57447200616849</v>
      </c>
      <c r="J166" s="27">
        <f>'Student Enrollment Data'!BS167</f>
        <v>0</v>
      </c>
      <c r="K166">
        <f t="shared" si="21"/>
        <v>13.489950980392159</v>
      </c>
      <c r="L166" s="25"/>
      <c r="M166" s="27">
        <f t="shared" si="19"/>
        <v>134.89950980392157</v>
      </c>
      <c r="N166" s="27">
        <f>E166*'Front page'!$B$20</f>
        <v>0</v>
      </c>
      <c r="O166" s="27">
        <f>F166*'Front page'!$B$21</f>
        <v>12.240049019607845</v>
      </c>
      <c r="P166">
        <f>G166*'Front page'!$B$18</f>
        <v>2.7</v>
      </c>
      <c r="Q166" s="27">
        <f>IF(settings!$B$4=0,Calculations!H166,Calculations!I166) *'Front page'!$B$11</f>
        <v>5.4610000000000003</v>
      </c>
      <c r="R166" s="28">
        <f>ROUND(I166*'Front page'!$B$9,2)</f>
        <v>0</v>
      </c>
      <c r="S166" s="27">
        <f>J166*'Front page'!$B$14</f>
        <v>0</v>
      </c>
      <c r="T166" s="81">
        <f>'Front page'!$B$16*Calculations!K166</f>
        <v>0.26979901960784319</v>
      </c>
      <c r="U166" s="81">
        <f>IF(settings!$B$13=0,(Calculations!M166*'Economic Adjustment'!O160)-Calculations!M166,0)</f>
        <v>0</v>
      </c>
      <c r="V166" s="154">
        <f>VLOOKUP(B166,'Remote School Building Weight'!$M$2:$P$174,3,FALSE)</f>
        <v>0</v>
      </c>
      <c r="W166" s="23">
        <f>'Small Dist Weight'!V165-Calculations!D166</f>
        <v>108.70005144479828</v>
      </c>
      <c r="X166" s="23">
        <f>IF(settings!$P$9=0,'Large District Weight'!H165*'Large District Weight'!G165,0)</f>
        <v>0</v>
      </c>
      <c r="Y166" s="23">
        <f t="shared" si="22"/>
        <v>264.27040928793554</v>
      </c>
      <c r="Z166" s="23">
        <f>IF(settings!$F$13=0,'Teacher Exp'!L166,0)</f>
        <v>0</v>
      </c>
      <c r="AA166" s="23">
        <f t="shared" si="23"/>
        <v>264.27040928793554</v>
      </c>
      <c r="AB166" s="25"/>
      <c r="AC166" s="24">
        <f>'Student Enrollment Data'!BU167</f>
        <v>0</v>
      </c>
      <c r="AD166" s="24">
        <f t="shared" si="24"/>
        <v>13.489950980392159</v>
      </c>
      <c r="AE166" s="24">
        <f>AD166*'Front page'!$B$16</f>
        <v>0.26979901960784319</v>
      </c>
      <c r="AG166" s="6">
        <f>M166*'Front page'!$E$3</f>
        <v>662318.37132833712</v>
      </c>
      <c r="AH166" s="6">
        <f>N166*'Front page'!$E$3</f>
        <v>0</v>
      </c>
      <c r="AI166" s="6">
        <f>O166*'Front page'!$E$3</f>
        <v>60095.172646876512</v>
      </c>
      <c r="AJ166" s="6">
        <f>P166*'Front page'!$E$3</f>
        <v>13256.234994373011</v>
      </c>
      <c r="AK166" s="6">
        <f>Q166*'Front page'!$E$3</f>
        <v>26811.962705285561</v>
      </c>
      <c r="AL166" s="6">
        <f>S166*'Front page'!$E$3</f>
        <v>0</v>
      </c>
      <c r="AM166" s="5">
        <f>Z166*'Front page'!$E$3</f>
        <v>0</v>
      </c>
      <c r="AN166" s="6">
        <f>T166*'Front page'!$E$3</f>
        <v>1324.6367426566744</v>
      </c>
      <c r="AO166" s="6">
        <f>U166*'Front page'!$E$3</f>
        <v>0</v>
      </c>
      <c r="AP166" s="6">
        <f>W166*'Front page'!$E$3</f>
        <v>533686.45401951158</v>
      </c>
      <c r="AQ166" s="6">
        <f>V166*'Front page'!$E$3</f>
        <v>0</v>
      </c>
      <c r="AR166" s="6">
        <f>X166*'Front page'!$E$3</f>
        <v>0</v>
      </c>
      <c r="AS166" s="6">
        <f t="shared" si="25"/>
        <v>1297492.8324370405</v>
      </c>
      <c r="AT166" s="7">
        <f>IF(AS166&gt;'Funding Comparison'!D166*(1+'Front page'!$H$10),'Funding Comparison'!D166*(1+'Front page'!$H$10),AS166)</f>
        <v>1297492.8324370405</v>
      </c>
    </row>
    <row r="167" spans="1:46" s="27" customFormat="1">
      <c r="A167" s="27" t="str">
        <f t="shared" si="18"/>
        <v>559</v>
      </c>
      <c r="B167" s="27">
        <f>A167*1</f>
        <v>559</v>
      </c>
      <c r="C167" s="15" t="s">
        <v>170</v>
      </c>
      <c r="D167">
        <f>IF(settings!$G$4=0,'Student Enrollment Data'!AX168,'Student Enrollment Data'!CK168)</f>
        <v>370</v>
      </c>
      <c r="E167">
        <f>IF(settings!$G$4=0,'Student Enrollment Data'!AY168,'Student Enrollment Data'!CL168)</f>
        <v>97</v>
      </c>
      <c r="F167">
        <f>IF(settings!$G$4=0,'Student Enrollment Data'!AZ168,'Student Enrollment Data'!CM168)</f>
        <v>112</v>
      </c>
      <c r="G167" s="28">
        <f>'Student Enrollment Data'!BK168</f>
        <v>12</v>
      </c>
      <c r="H167" s="27">
        <f>'Student Enrollment Data'!BF168</f>
        <v>164.68</v>
      </c>
      <c r="I167">
        <f>SUM('Student Enrollment Data'!R168:X168,'Student Enrollment Data'!AQ168:AW168)</f>
        <v>0</v>
      </c>
      <c r="J167" s="27">
        <f>'Student Enrollment Data'!BS168</f>
        <v>31.402154121832407</v>
      </c>
      <c r="K167">
        <f t="shared" si="21"/>
        <v>37</v>
      </c>
      <c r="L167" s="25"/>
      <c r="M167" s="27">
        <f t="shared" si="19"/>
        <v>370</v>
      </c>
      <c r="N167" s="27">
        <f>E167*'Front page'!$B$20</f>
        <v>9.7000000000000011</v>
      </c>
      <c r="O167" s="27">
        <f>F167*'Front page'!$B$21</f>
        <v>11.200000000000001</v>
      </c>
      <c r="P167">
        <f>G167*'Front page'!$B$18</f>
        <v>1.2000000000000002</v>
      </c>
      <c r="Q167" s="27">
        <f>IF(settings!$B$4=0,Calculations!H167,Calculations!I167) *'Front page'!$B$11</f>
        <v>16.468</v>
      </c>
      <c r="R167" s="28">
        <f>ROUND(I167*'Front page'!$B$9,2)</f>
        <v>0</v>
      </c>
      <c r="S167" s="27">
        <f>J167*'Front page'!$B$14</f>
        <v>3.1402154121832409</v>
      </c>
      <c r="T167" s="81">
        <f>'Front page'!$B$16*Calculations!K167</f>
        <v>0.74</v>
      </c>
      <c r="U167" s="81">
        <f>IF(settings!$B$13=0,(Calculations!M167*'Economic Adjustment'!O161)-Calculations!M167,0)</f>
        <v>0</v>
      </c>
      <c r="V167" s="154">
        <f>VLOOKUP(B167,'Remote School Building Weight'!$M$2:$P$174,3,FALSE)</f>
        <v>0</v>
      </c>
      <c r="W167" s="23">
        <f>'Small Dist Weight'!V166-Calculations!D167</f>
        <v>171.19893416927903</v>
      </c>
      <c r="X167" s="23">
        <f>IF(settings!$P$9=0,'Large District Weight'!H166*'Large District Weight'!G166,0)</f>
        <v>0</v>
      </c>
      <c r="Y167" s="23">
        <f t="shared" si="22"/>
        <v>583.64714958146226</v>
      </c>
      <c r="Z167" s="23">
        <f>IF(settings!$F$13=0,'Teacher Exp'!L167,0)</f>
        <v>0</v>
      </c>
      <c r="AA167" s="23">
        <f t="shared" si="23"/>
        <v>583.64714958146226</v>
      </c>
      <c r="AB167" s="25"/>
      <c r="AC167" s="24">
        <f>'Student Enrollment Data'!BU168</f>
        <v>0</v>
      </c>
      <c r="AD167" s="24">
        <f t="shared" si="24"/>
        <v>37</v>
      </c>
      <c r="AE167" s="24">
        <f>AD167*'Front page'!$B$16</f>
        <v>0.74</v>
      </c>
      <c r="AG167" s="6">
        <f>M167*'Front page'!$E$3</f>
        <v>1816595.1658955608</v>
      </c>
      <c r="AH167" s="6">
        <f>N167*'Front page'!$E$3</f>
        <v>47624.251646451194</v>
      </c>
      <c r="AI167" s="6">
        <f>O167*'Front page'!$E$3</f>
        <v>54988.826643325083</v>
      </c>
      <c r="AJ167" s="6">
        <f>P167*'Front page'!$E$3</f>
        <v>5891.6599974991168</v>
      </c>
      <c r="AK167" s="6">
        <f>Q167*'Front page'!$E$3</f>
        <v>80853.214032346194</v>
      </c>
      <c r="AL167" s="6">
        <f>S167*'Front page'!$E$3</f>
        <v>15417.567939575165</v>
      </c>
      <c r="AM167" s="5">
        <f>Z167*'Front page'!$E$3</f>
        <v>0</v>
      </c>
      <c r="AN167" s="6">
        <f>T167*'Front page'!$E$3</f>
        <v>3633.1903317911215</v>
      </c>
      <c r="AO167" s="6">
        <f>U167*'Front page'!$E$3</f>
        <v>0</v>
      </c>
      <c r="AP167" s="6">
        <f>W167*'Front page'!$E$3</f>
        <v>840538.26004968816</v>
      </c>
      <c r="AQ167" s="6">
        <f>V167*'Front page'!$E$3</f>
        <v>0</v>
      </c>
      <c r="AR167" s="6">
        <f>X167*'Front page'!$E$3</f>
        <v>0</v>
      </c>
      <c r="AS167" s="6">
        <f t="shared" si="25"/>
        <v>2865542.1365362369</v>
      </c>
      <c r="AT167" s="7">
        <f>IF(AS167&gt;'Funding Comparison'!D167*(1+'Front page'!$H$10),'Funding Comparison'!D167*(1+'Front page'!$H$10),AS167)</f>
        <v>2865542.1365362369</v>
      </c>
    </row>
    <row r="168" spans="1:46" s="27" customFormat="1">
      <c r="A168" s="27" t="str">
        <f t="shared" si="18"/>
        <v>751</v>
      </c>
      <c r="B168" s="27">
        <f t="shared" ref="B168:B175" si="30">A168*1</f>
        <v>751</v>
      </c>
      <c r="C168" s="15" t="s">
        <v>171</v>
      </c>
      <c r="D168">
        <f>IF(settings!$G$4=0,'Student Enrollment Data'!AX169,'Student Enrollment Data'!CK169)</f>
        <v>199</v>
      </c>
      <c r="E168">
        <f>IF(settings!$G$4=0,'Student Enrollment Data'!AY169,'Student Enrollment Data'!CL169)</f>
        <v>0</v>
      </c>
      <c r="F168">
        <f>IF(settings!$G$4=0,'Student Enrollment Data'!AZ169,'Student Enrollment Data'!CM169)</f>
        <v>199</v>
      </c>
      <c r="G168" s="28">
        <f>'Student Enrollment Data'!BK169</f>
        <v>23.676757765099069</v>
      </c>
      <c r="H168" s="27">
        <f>'Student Enrollment Data'!BF169</f>
        <v>85.56</v>
      </c>
      <c r="I168">
        <f>SUM('Student Enrollment Data'!R169:X169,'Student Enrollment Data'!AQ169:AW169)</f>
        <v>0</v>
      </c>
      <c r="J168" s="27">
        <f>'Student Enrollment Data'!BS169</f>
        <v>0</v>
      </c>
      <c r="K168">
        <f t="shared" si="21"/>
        <v>19.900000000000002</v>
      </c>
      <c r="L168" s="25"/>
      <c r="M168" s="27">
        <f t="shared" ref="M168:M175" si="31">MAX(D168,30)</f>
        <v>199</v>
      </c>
      <c r="N168" s="27">
        <f>E168*'Front page'!$B$20</f>
        <v>0</v>
      </c>
      <c r="O168" s="27">
        <f>F168*'Front page'!$B$21</f>
        <v>19.900000000000002</v>
      </c>
      <c r="P168">
        <f>G168*'Front page'!$B$18</f>
        <v>2.3676757765099068</v>
      </c>
      <c r="Q168" s="27">
        <f>IF(settings!$B$4=0,Calculations!H168,Calculations!I168) *'Front page'!$B$11</f>
        <v>8.5560000000000009</v>
      </c>
      <c r="R168" s="28">
        <f>ROUND(I168*'Front page'!$B$9,2)</f>
        <v>0</v>
      </c>
      <c r="S168" s="27">
        <f>J168*'Front page'!$B$14</f>
        <v>0</v>
      </c>
      <c r="T168" s="81">
        <f>'Front page'!$B$16*Calculations!K168</f>
        <v>0.39800000000000008</v>
      </c>
      <c r="U168" s="81">
        <f>IF(settings!$B$13=0,(Calculations!M168*'Economic Adjustment'!O162)-Calculations!M168,0)</f>
        <v>0</v>
      </c>
      <c r="V168" s="154">
        <f>VLOOKUP(B168,'Remote School Building Weight'!$M$2:$P$174,3,FALSE)</f>
        <v>0</v>
      </c>
      <c r="W168" s="23">
        <f>'Small Dist Weight'!V167-Calculations!D168</f>
        <v>137.25853448275865</v>
      </c>
      <c r="X168" s="23">
        <f>IF(settings!$P$9=0,'Large District Weight'!H167*'Large District Weight'!G167,0)</f>
        <v>0</v>
      </c>
      <c r="Y168" s="23">
        <f t="shared" si="22"/>
        <v>367.48021025926857</v>
      </c>
      <c r="Z168" s="23">
        <f>IF(settings!$F$13=0,'Teacher Exp'!L168,0)</f>
        <v>0</v>
      </c>
      <c r="AA168" s="23">
        <f t="shared" si="23"/>
        <v>367.48021025926857</v>
      </c>
      <c r="AB168" s="25"/>
      <c r="AC168" s="24">
        <f>'Student Enrollment Data'!BU169</f>
        <v>0</v>
      </c>
      <c r="AD168" s="24">
        <f t="shared" si="24"/>
        <v>19.900000000000002</v>
      </c>
      <c r="AE168" s="24">
        <f>AD168*'Front page'!$B$16</f>
        <v>0.39800000000000008</v>
      </c>
      <c r="AG168" s="6">
        <f>M168*'Front page'!$E$3</f>
        <v>977033.61625193665</v>
      </c>
      <c r="AH168" s="6">
        <f>N168*'Front page'!$E$3</f>
        <v>0</v>
      </c>
      <c r="AI168" s="6">
        <f>O168*'Front page'!$E$3</f>
        <v>97703.361625193676</v>
      </c>
      <c r="AJ168" s="6">
        <f>P168*'Front page'!$E$3</f>
        <v>11624.617216259228</v>
      </c>
      <c r="AK168" s="6">
        <f>Q168*'Front page'!$E$3</f>
        <v>42007.535782168699</v>
      </c>
      <c r="AL168" s="6">
        <f>S168*'Front page'!$E$3</f>
        <v>0</v>
      </c>
      <c r="AM168" s="5">
        <f>Z168*'Front page'!$E$3</f>
        <v>0</v>
      </c>
      <c r="AN168" s="6">
        <f>T168*'Front page'!$E$3</f>
        <v>1954.0672325038738</v>
      </c>
      <c r="AO168" s="6">
        <f>U168*'Front page'!$E$3</f>
        <v>0</v>
      </c>
      <c r="AP168" s="6">
        <f>W168*'Front page'!$E$3</f>
        <v>673900.51410618506</v>
      </c>
      <c r="AQ168" s="6">
        <f>V168*'Front page'!$E$3</f>
        <v>0</v>
      </c>
      <c r="AR168" s="6">
        <f>X168*'Front page'!$E$3</f>
        <v>0</v>
      </c>
      <c r="AS168" s="6">
        <f t="shared" si="25"/>
        <v>1804223.7122142469</v>
      </c>
      <c r="AT168" s="7">
        <f>IF(AS168&gt;'Funding Comparison'!D168*(1+'Front page'!$H$10),'Funding Comparison'!D168*(1+'Front page'!$H$10),AS168)</f>
        <v>1804223.7122142469</v>
      </c>
    </row>
    <row r="169" spans="1:46" s="27" customFormat="1">
      <c r="A169" s="27" t="str">
        <f t="shared" si="18"/>
        <v>768</v>
      </c>
      <c r="B169" s="27">
        <f t="shared" si="30"/>
        <v>768</v>
      </c>
      <c r="C169" s="15" t="s">
        <v>172</v>
      </c>
      <c r="D169">
        <f>IF(settings!$G$4=0,'Student Enrollment Data'!AX170,'Student Enrollment Data'!CK170)</f>
        <v>200</v>
      </c>
      <c r="E169">
        <f>IF(settings!$G$4=0,'Student Enrollment Data'!AY170,'Student Enrollment Data'!CL170)</f>
        <v>0</v>
      </c>
      <c r="F169">
        <f>IF(settings!$G$4=0,'Student Enrollment Data'!AZ170,'Student Enrollment Data'!CM170)</f>
        <v>200</v>
      </c>
      <c r="G169" s="28">
        <f>'Student Enrollment Data'!BK170</f>
        <v>3</v>
      </c>
      <c r="H169" s="27">
        <f>'Student Enrollment Data'!BF170</f>
        <v>85.99</v>
      </c>
      <c r="I169">
        <f>SUM('Student Enrollment Data'!R170:X170,'Student Enrollment Data'!AQ170:AW170)</f>
        <v>0</v>
      </c>
      <c r="J169" s="27">
        <f>'Student Enrollment Data'!BS170</f>
        <v>0</v>
      </c>
      <c r="K169">
        <f t="shared" si="21"/>
        <v>20</v>
      </c>
      <c r="L169" s="25"/>
      <c r="M169" s="27">
        <f t="shared" si="31"/>
        <v>200</v>
      </c>
      <c r="N169" s="27">
        <f>E169*'Front page'!$B$20</f>
        <v>0</v>
      </c>
      <c r="O169" s="27">
        <f>F169*'Front page'!$B$21</f>
        <v>20</v>
      </c>
      <c r="P169">
        <f>G169*'Front page'!$B$18</f>
        <v>0.30000000000000004</v>
      </c>
      <c r="Q169" s="27">
        <f>IF(settings!$B$4=0,Calculations!H169,Calculations!I169) *'Front page'!$B$11</f>
        <v>8.5990000000000002</v>
      </c>
      <c r="R169" s="28">
        <f>ROUND(I169*'Front page'!$B$9,2)</f>
        <v>0</v>
      </c>
      <c r="S169" s="27">
        <f>J169*'Front page'!$B$14</f>
        <v>0</v>
      </c>
      <c r="T169" s="81">
        <f>'Front page'!$B$16*Calculations!K169</f>
        <v>0.4</v>
      </c>
      <c r="U169" s="81">
        <f>IF(settings!$B$13=0,(Calculations!M169*'Economic Adjustment'!O163)-Calculations!M169,0)</f>
        <v>0</v>
      </c>
      <c r="V169" s="154">
        <f>VLOOKUP(B169,'Remote School Building Weight'!$M$2:$P$174,3,FALSE)</f>
        <v>0</v>
      </c>
      <c r="W169" s="23">
        <f>'Small Dist Weight'!V168-Calculations!D169</f>
        <v>137.58620689655174</v>
      </c>
      <c r="X169" s="23">
        <f>IF(settings!$P$9=0,'Large District Weight'!H168*'Large District Weight'!G168,0)</f>
        <v>0</v>
      </c>
      <c r="Y169" s="23">
        <f t="shared" si="22"/>
        <v>366.88520689655172</v>
      </c>
      <c r="Z169" s="23">
        <f>IF(settings!$F$13=0,'Teacher Exp'!L169,0)</f>
        <v>0</v>
      </c>
      <c r="AA169" s="23">
        <f t="shared" si="23"/>
        <v>366.88520689655172</v>
      </c>
      <c r="AB169" s="25"/>
      <c r="AC169" s="24">
        <f>'Student Enrollment Data'!BU170</f>
        <v>0</v>
      </c>
      <c r="AD169" s="24">
        <f t="shared" si="24"/>
        <v>20</v>
      </c>
      <c r="AE169" s="24">
        <f>AD169*'Front page'!$B$16</f>
        <v>0.4</v>
      </c>
      <c r="AG169" s="6">
        <f>M169*'Front page'!$E$3</f>
        <v>981943.33291651926</v>
      </c>
      <c r="AH169" s="6">
        <f>N169*'Front page'!$E$3</f>
        <v>0</v>
      </c>
      <c r="AI169" s="6">
        <f>O169*'Front page'!$E$3</f>
        <v>98194.333291651928</v>
      </c>
      <c r="AJ169" s="6">
        <f>P169*'Front page'!$E$3</f>
        <v>1472.9149993747792</v>
      </c>
      <c r="AK169" s="6">
        <f>Q169*'Front page'!$E$3</f>
        <v>42218.653598745746</v>
      </c>
      <c r="AL169" s="6">
        <f>S169*'Front page'!$E$3</f>
        <v>0</v>
      </c>
      <c r="AM169" s="5">
        <f>Z169*'Front page'!$E$3</f>
        <v>0</v>
      </c>
      <c r="AN169" s="6">
        <f>T169*'Front page'!$E$3</f>
        <v>1963.8866658330387</v>
      </c>
      <c r="AO169" s="6">
        <f>U169*'Front page'!$E$3</f>
        <v>0</v>
      </c>
      <c r="AP169" s="6">
        <f>W169*'Front page'!$E$3</f>
        <v>675509.29281670903</v>
      </c>
      <c r="AQ169" s="6">
        <f>V169*'Front page'!$E$3</f>
        <v>0</v>
      </c>
      <c r="AR169" s="6">
        <f>X169*'Front page'!$E$3</f>
        <v>0</v>
      </c>
      <c r="AS169" s="6">
        <f t="shared" si="25"/>
        <v>1801302.414288834</v>
      </c>
      <c r="AT169" s="7">
        <f>IF(AS169&gt;'Funding Comparison'!D169*(1+'Front page'!$H$10),'Funding Comparison'!D169*(1+'Front page'!$H$10),AS169)</f>
        <v>1801302.414288834</v>
      </c>
    </row>
    <row r="170" spans="1:46" s="27" customFormat="1">
      <c r="A170" s="27" t="str">
        <f t="shared" si="18"/>
        <v>785</v>
      </c>
      <c r="B170" s="27">
        <f t="shared" si="30"/>
        <v>785</v>
      </c>
      <c r="C170" s="15" t="s">
        <v>173</v>
      </c>
      <c r="D170">
        <f>IF(settings!$G$4=0,'Student Enrollment Data'!AX171,'Student Enrollment Data'!CK171)</f>
        <v>194</v>
      </c>
      <c r="E170">
        <f>IF(settings!$G$4=0,'Student Enrollment Data'!AY171,'Student Enrollment Data'!CL171)</f>
        <v>0</v>
      </c>
      <c r="F170">
        <f>IF(settings!$G$4=0,'Student Enrollment Data'!AZ171,'Student Enrollment Data'!CM171)</f>
        <v>194</v>
      </c>
      <c r="G170" s="28">
        <f>'Student Enrollment Data'!BK171</f>
        <v>3</v>
      </c>
      <c r="H170" s="27">
        <f>'Student Enrollment Data'!BF171</f>
        <v>83.41</v>
      </c>
      <c r="I170">
        <f>SUM('Student Enrollment Data'!R171:X171,'Student Enrollment Data'!AQ171:AW171)</f>
        <v>0</v>
      </c>
      <c r="J170" s="27">
        <f>'Student Enrollment Data'!BS171</f>
        <v>16.443882842441358</v>
      </c>
      <c r="K170">
        <f t="shared" si="21"/>
        <v>19.400000000000002</v>
      </c>
      <c r="L170" s="25"/>
      <c r="M170" s="27">
        <f t="shared" si="31"/>
        <v>194</v>
      </c>
      <c r="N170" s="27">
        <f>E170*'Front page'!$B$20</f>
        <v>0</v>
      </c>
      <c r="O170" s="27">
        <f>F170*'Front page'!$B$21</f>
        <v>19.400000000000002</v>
      </c>
      <c r="P170">
        <f>G170*'Front page'!$B$18</f>
        <v>0.30000000000000004</v>
      </c>
      <c r="Q170" s="27">
        <f>IF(settings!$B$4=0,Calculations!H170,Calculations!I170) *'Front page'!$B$11</f>
        <v>8.3409999999999993</v>
      </c>
      <c r="R170" s="28">
        <f>ROUND(I170*'Front page'!$B$9,2)</f>
        <v>0</v>
      </c>
      <c r="S170" s="27">
        <f>J170*'Front page'!$B$14</f>
        <v>1.644388284244136</v>
      </c>
      <c r="T170" s="81">
        <f>'Front page'!$B$16*Calculations!K170</f>
        <v>0.38800000000000007</v>
      </c>
      <c r="U170" s="81">
        <f>IF(settings!$B$13=0,(Calculations!M170*'Economic Adjustment'!O164)-Calculations!M170,0)</f>
        <v>0</v>
      </c>
      <c r="V170" s="154">
        <f>VLOOKUP(B170,'Remote School Building Weight'!$M$2:$P$174,3,FALSE)</f>
        <v>0</v>
      </c>
      <c r="W170" s="23">
        <f>'Small Dist Weight'!V169-Calculations!D170</f>
        <v>135.56586206896554</v>
      </c>
      <c r="X170" s="23">
        <f>IF(settings!$P$9=0,'Large District Weight'!H169*'Large District Weight'!G169,0)</f>
        <v>0</v>
      </c>
      <c r="Y170" s="23">
        <f t="shared" si="22"/>
        <v>359.63925035320972</v>
      </c>
      <c r="Z170" s="23">
        <f>IF(settings!$F$13=0,'Teacher Exp'!L170,0)</f>
        <v>0</v>
      </c>
      <c r="AA170" s="23">
        <f t="shared" si="23"/>
        <v>359.63925035320972</v>
      </c>
      <c r="AB170" s="25"/>
      <c r="AC170" s="24">
        <f>'Student Enrollment Data'!BU171</f>
        <v>12</v>
      </c>
      <c r="AD170" s="24">
        <f t="shared" si="24"/>
        <v>19.400000000000002</v>
      </c>
      <c r="AE170" s="24">
        <f>AD170*'Front page'!$B$16</f>
        <v>0.38800000000000007</v>
      </c>
      <c r="AG170" s="6">
        <f>M170*'Front page'!$E$3</f>
        <v>952485.03292902373</v>
      </c>
      <c r="AH170" s="6">
        <f>N170*'Front page'!$E$3</f>
        <v>0</v>
      </c>
      <c r="AI170" s="6">
        <f>O170*'Front page'!$E$3</f>
        <v>95248.503292902387</v>
      </c>
      <c r="AJ170" s="6">
        <f>P170*'Front page'!$E$3</f>
        <v>1472.9149993747792</v>
      </c>
      <c r="AK170" s="6">
        <f>Q170*'Front page'!$E$3</f>
        <v>40951.946699283435</v>
      </c>
      <c r="AL170" s="6">
        <f>S170*'Front page'!$E$3</f>
        <v>8073.4805621978176</v>
      </c>
      <c r="AM170" s="5">
        <f>Z170*'Front page'!$E$3</f>
        <v>0</v>
      </c>
      <c r="AN170" s="6">
        <f>T170*'Front page'!$E$3</f>
        <v>1904.9700658580477</v>
      </c>
      <c r="AO170" s="6">
        <f>U170*'Front page'!$E$3</f>
        <v>0</v>
      </c>
      <c r="AP170" s="6">
        <f>W170*'Front page'!$E$3</f>
        <v>665589.97214850585</v>
      </c>
      <c r="AQ170" s="6">
        <f>V170*'Front page'!$E$3</f>
        <v>0</v>
      </c>
      <c r="AR170" s="6">
        <f>X170*'Front page'!$E$3</f>
        <v>0</v>
      </c>
      <c r="AS170" s="6">
        <f t="shared" si="25"/>
        <v>1765726.820697146</v>
      </c>
      <c r="AT170" s="7">
        <f>IF(AS170&gt;'Funding Comparison'!D170*(1+'Front page'!$H$10),'Funding Comparison'!D170*(1+'Front page'!$H$10),AS170)</f>
        <v>1765726.820697146</v>
      </c>
    </row>
    <row r="171" spans="1:46" s="27" customFormat="1">
      <c r="A171" s="27" t="str">
        <f t="shared" si="18"/>
        <v>790</v>
      </c>
      <c r="B171" s="27">
        <f t="shared" si="30"/>
        <v>790</v>
      </c>
      <c r="C171" s="15" t="s">
        <v>174</v>
      </c>
      <c r="D171">
        <f>IF(settings!$G$4=0,'Student Enrollment Data'!AX172,'Student Enrollment Data'!CK172)</f>
        <v>200</v>
      </c>
      <c r="E171">
        <f>IF(settings!$G$4=0,'Student Enrollment Data'!AY172,'Student Enrollment Data'!CL172)</f>
        <v>0</v>
      </c>
      <c r="F171">
        <f>IF(settings!$G$4=0,'Student Enrollment Data'!AZ172,'Student Enrollment Data'!CM172)</f>
        <v>200</v>
      </c>
      <c r="G171" s="28">
        <f>'Student Enrollment Data'!BK172</f>
        <v>23.194324360873722</v>
      </c>
      <c r="H171" s="27">
        <f>'Student Enrollment Data'!BF172</f>
        <v>85.99</v>
      </c>
      <c r="I171">
        <f>SUM('Student Enrollment Data'!R172:X172,'Student Enrollment Data'!AQ172:AW172)</f>
        <v>0</v>
      </c>
      <c r="J171" s="27">
        <f>'Student Enrollment Data'!BS172</f>
        <v>0</v>
      </c>
      <c r="K171">
        <f t="shared" si="21"/>
        <v>20</v>
      </c>
      <c r="L171" s="25"/>
      <c r="M171" s="27">
        <f t="shared" si="31"/>
        <v>200</v>
      </c>
      <c r="N171" s="27">
        <f>E171*'Front page'!$B$20</f>
        <v>0</v>
      </c>
      <c r="O171" s="27">
        <f>F171*'Front page'!$B$21</f>
        <v>20</v>
      </c>
      <c r="P171">
        <f>G171*'Front page'!$B$18</f>
        <v>2.3194324360873724</v>
      </c>
      <c r="Q171" s="27">
        <f>IF(settings!$B$4=0,Calculations!H171,Calculations!I171) *'Front page'!$B$11</f>
        <v>8.5990000000000002</v>
      </c>
      <c r="R171" s="28">
        <f>ROUND(I171*'Front page'!$B$9,2)</f>
        <v>0</v>
      </c>
      <c r="S171" s="27">
        <f>J171*'Front page'!$B$14</f>
        <v>0</v>
      </c>
      <c r="T171" s="81">
        <f>'Front page'!$B$16*Calculations!K171</f>
        <v>0.4</v>
      </c>
      <c r="U171" s="81">
        <f>IF(settings!$B$13=0,(Calculations!M171*'Economic Adjustment'!O165)-Calculations!M171,0)</f>
        <v>0</v>
      </c>
      <c r="V171" s="154">
        <f>VLOOKUP(B171,'Remote School Building Weight'!$M$2:$P$174,3,FALSE)</f>
        <v>0</v>
      </c>
      <c r="W171" s="23">
        <f>'Small Dist Weight'!V170-Calculations!D171</f>
        <v>137.58620689655174</v>
      </c>
      <c r="X171" s="23">
        <f>IF(settings!$P$9=0,'Large District Weight'!H170*'Large District Weight'!G170,0)</f>
        <v>0</v>
      </c>
      <c r="Y171" s="23">
        <f t="shared" si="22"/>
        <v>368.90463933263914</v>
      </c>
      <c r="Z171" s="23">
        <f>IF(settings!$F$13=0,'Teacher Exp'!L171,0)</f>
        <v>0</v>
      </c>
      <c r="AA171" s="23">
        <f t="shared" si="23"/>
        <v>368.90463933263914</v>
      </c>
      <c r="AB171" s="25"/>
      <c r="AC171" s="24">
        <f>'Student Enrollment Data'!BU172</f>
        <v>5</v>
      </c>
      <c r="AD171" s="24">
        <f t="shared" si="24"/>
        <v>20</v>
      </c>
      <c r="AE171" s="24">
        <f>AD171*'Front page'!$B$16</f>
        <v>0.4</v>
      </c>
      <c r="AG171" s="6">
        <f>M171*'Front page'!$E$3</f>
        <v>981943.33291651926</v>
      </c>
      <c r="AH171" s="6">
        <f>N171*'Front page'!$E$3</f>
        <v>0</v>
      </c>
      <c r="AI171" s="6">
        <f>O171*'Front page'!$E$3</f>
        <v>98194.333291651928</v>
      </c>
      <c r="AJ171" s="6">
        <f>P171*'Front page'!$E$3</f>
        <v>11387.75608383158</v>
      </c>
      <c r="AK171" s="6">
        <f>Q171*'Front page'!$E$3</f>
        <v>42218.653598745746</v>
      </c>
      <c r="AL171" s="6">
        <f>S171*'Front page'!$E$3</f>
        <v>0</v>
      </c>
      <c r="AM171" s="5">
        <f>Z171*'Front page'!$E$3</f>
        <v>0</v>
      </c>
      <c r="AN171" s="6">
        <f>T171*'Front page'!$E$3</f>
        <v>1963.8866658330387</v>
      </c>
      <c r="AO171" s="6">
        <f>U171*'Front page'!$E$3</f>
        <v>0</v>
      </c>
      <c r="AP171" s="6">
        <f>W171*'Front page'!$E$3</f>
        <v>675509.29281670903</v>
      </c>
      <c r="AQ171" s="6">
        <f>V171*'Front page'!$E$3</f>
        <v>0</v>
      </c>
      <c r="AR171" s="6">
        <f>X171*'Front page'!$E$3</f>
        <v>0</v>
      </c>
      <c r="AS171" s="6">
        <f t="shared" si="25"/>
        <v>1811217.2553732907</v>
      </c>
      <c r="AT171" s="7">
        <f>IF(AS171&gt;'Funding Comparison'!D171*(1+'Front page'!$H$10),'Funding Comparison'!D171*(1+'Front page'!$H$10),AS171)</f>
        <v>1811217.2553732907</v>
      </c>
    </row>
    <row r="172" spans="1:46" s="27" customFormat="1">
      <c r="A172" s="27" t="str">
        <f t="shared" si="18"/>
        <v>794</v>
      </c>
      <c r="B172" s="27">
        <f t="shared" si="30"/>
        <v>794</v>
      </c>
      <c r="C172" s="15" t="s">
        <v>175</v>
      </c>
      <c r="D172">
        <f>IF(settings!$G$4=0,'Student Enrollment Data'!AX173,'Student Enrollment Data'!CK173)</f>
        <v>195</v>
      </c>
      <c r="E172">
        <f>IF(settings!$G$4=0,'Student Enrollment Data'!AY173,'Student Enrollment Data'!CL173)</f>
        <v>0</v>
      </c>
      <c r="F172">
        <f>IF(settings!$G$4=0,'Student Enrollment Data'!AZ173,'Student Enrollment Data'!CM173)</f>
        <v>195</v>
      </c>
      <c r="G172" s="28">
        <f>'Student Enrollment Data'!BK173</f>
        <v>6.4083575990694639</v>
      </c>
      <c r="H172" s="27">
        <f>'Student Enrollment Data'!BF173</f>
        <v>83.84</v>
      </c>
      <c r="I172">
        <f>SUM('Student Enrollment Data'!R173:X173,'Student Enrollment Data'!AQ173:AW173)</f>
        <v>0</v>
      </c>
      <c r="J172" s="27">
        <f>'Student Enrollment Data'!BS173</f>
        <v>6</v>
      </c>
      <c r="K172">
        <f t="shared" si="21"/>
        <v>19.5</v>
      </c>
      <c r="L172" s="25"/>
      <c r="M172" s="27">
        <f t="shared" si="31"/>
        <v>195</v>
      </c>
      <c r="N172" s="27">
        <f>E172*'Front page'!$B$20</f>
        <v>0</v>
      </c>
      <c r="O172" s="27">
        <f>F172*'Front page'!$B$21</f>
        <v>19.5</v>
      </c>
      <c r="P172">
        <f>G172*'Front page'!$B$18</f>
        <v>0.64083575990694641</v>
      </c>
      <c r="Q172" s="27">
        <f>IF(settings!$B$4=0,Calculations!H172,Calculations!I172) *'Front page'!$B$11</f>
        <v>8.3840000000000003</v>
      </c>
      <c r="R172" s="28">
        <f>ROUND(I172*'Front page'!$B$9,2)</f>
        <v>0</v>
      </c>
      <c r="S172" s="27">
        <f>J172*'Front page'!$B$14</f>
        <v>0.60000000000000009</v>
      </c>
      <c r="T172" s="81">
        <f>'Front page'!$B$16*Calculations!K172</f>
        <v>0.39</v>
      </c>
      <c r="U172" s="81">
        <f>IF(settings!$B$13=0,(Calculations!M172*'Economic Adjustment'!O166)-Calculations!M172,0)</f>
        <v>0</v>
      </c>
      <c r="V172" s="154">
        <f>VLOOKUP(B172,'Remote School Building Weight'!$M$2:$P$174,3,FALSE)</f>
        <v>0</v>
      </c>
      <c r="W172" s="23">
        <f>'Small Dist Weight'!V171-Calculations!D172</f>
        <v>135.91163793103448</v>
      </c>
      <c r="X172" s="23">
        <f>IF(settings!$P$9=0,'Large District Weight'!H171*'Large District Weight'!G171,0)</f>
        <v>0</v>
      </c>
      <c r="Y172" s="23">
        <f t="shared" si="22"/>
        <v>360.42647369094141</v>
      </c>
      <c r="Z172" s="23">
        <f>IF(settings!$F$13=0,'Teacher Exp'!L172,0)</f>
        <v>0</v>
      </c>
      <c r="AA172" s="23">
        <f t="shared" si="23"/>
        <v>360.42647369094141</v>
      </c>
      <c r="AB172" s="25"/>
      <c r="AC172" s="24">
        <f>'Student Enrollment Data'!BU173</f>
        <v>0</v>
      </c>
      <c r="AD172" s="24">
        <f t="shared" si="24"/>
        <v>19.5</v>
      </c>
      <c r="AE172" s="24">
        <f>AD172*'Front page'!$B$16</f>
        <v>0.39</v>
      </c>
      <c r="AG172" s="6">
        <f>M172*'Front page'!$E$3</f>
        <v>957394.74959360634</v>
      </c>
      <c r="AH172" s="6">
        <f>N172*'Front page'!$E$3</f>
        <v>0</v>
      </c>
      <c r="AI172" s="6">
        <f>O172*'Front page'!$E$3</f>
        <v>95739.474959360625</v>
      </c>
      <c r="AJ172" s="6">
        <f>P172*'Front page'!$E$3</f>
        <v>3146.3220096755863</v>
      </c>
      <c r="AK172" s="6">
        <f>Q172*'Front page'!$E$3</f>
        <v>41163.064515860489</v>
      </c>
      <c r="AL172" s="6">
        <f>S172*'Front page'!$E$3</f>
        <v>2945.8299987495584</v>
      </c>
      <c r="AM172" s="5">
        <f>Z172*'Front page'!$E$3</f>
        <v>0</v>
      </c>
      <c r="AN172" s="6">
        <f>T172*'Front page'!$E$3</f>
        <v>1914.7894991872126</v>
      </c>
      <c r="AO172" s="6">
        <f>U172*'Front page'!$E$3</f>
        <v>0</v>
      </c>
      <c r="AP172" s="6">
        <f>W172*'Front page'!$E$3</f>
        <v>667287.63366071612</v>
      </c>
      <c r="AQ172" s="6">
        <f>V172*'Front page'!$E$3</f>
        <v>0</v>
      </c>
      <c r="AR172" s="6">
        <f>X172*'Front page'!$E$3</f>
        <v>0</v>
      </c>
      <c r="AS172" s="6">
        <f t="shared" si="25"/>
        <v>1769591.8642371558</v>
      </c>
      <c r="AT172" s="7">
        <f>IF(AS172&gt;'Funding Comparison'!D172*(1+'Front page'!$H$10),'Funding Comparison'!D172*(1+'Front page'!$H$10),AS172)</f>
        <v>1769591.8642371558</v>
      </c>
    </row>
    <row r="173" spans="1:46" s="27" customFormat="1">
      <c r="A173" s="27" t="str">
        <f t="shared" si="18"/>
        <v>795</v>
      </c>
      <c r="B173" s="27">
        <f t="shared" si="30"/>
        <v>795</v>
      </c>
      <c r="C173" s="15" t="s">
        <v>176</v>
      </c>
      <c r="D173">
        <f>IF(settings!$G$4=0,'Student Enrollment Data'!AX174,'Student Enrollment Data'!CK174)</f>
        <v>1116</v>
      </c>
      <c r="E173">
        <f>IF(settings!$G$4=0,'Student Enrollment Data'!AY174,'Student Enrollment Data'!CL174)</f>
        <v>417</v>
      </c>
      <c r="F173">
        <f>IF(settings!$G$4=0,'Student Enrollment Data'!AZ174,'Student Enrollment Data'!CM174)</f>
        <v>213</v>
      </c>
      <c r="G173" s="28">
        <f>'Student Enrollment Data'!BK174</f>
        <v>61</v>
      </c>
      <c r="H173" s="27">
        <f>'Student Enrollment Data'!BF174</f>
        <v>505.64</v>
      </c>
      <c r="I173">
        <f>SUM('Student Enrollment Data'!R174:X174,'Student Enrollment Data'!AQ174:AW174)</f>
        <v>0</v>
      </c>
      <c r="J173" s="27">
        <f>'Student Enrollment Data'!BS174</f>
        <v>32</v>
      </c>
      <c r="K173">
        <f t="shared" si="21"/>
        <v>111.60000000000001</v>
      </c>
      <c r="L173" s="25"/>
      <c r="M173" s="27">
        <f t="shared" si="31"/>
        <v>1116</v>
      </c>
      <c r="N173" s="27">
        <f>E173*'Front page'!$B$20</f>
        <v>41.7</v>
      </c>
      <c r="O173" s="27">
        <f>F173*'Front page'!$B$21</f>
        <v>21.3</v>
      </c>
      <c r="P173">
        <f>G173*'Front page'!$B$18</f>
        <v>6.1000000000000005</v>
      </c>
      <c r="Q173" s="27">
        <f>IF(settings!$B$4=0,Calculations!H173,Calculations!I173) *'Front page'!$B$11</f>
        <v>50.564</v>
      </c>
      <c r="R173" s="28">
        <f>ROUND(I173*'Front page'!$B$9,2)</f>
        <v>0</v>
      </c>
      <c r="S173" s="27">
        <f>J173*'Front page'!$B$14</f>
        <v>3.2</v>
      </c>
      <c r="T173" s="81">
        <f>'Front page'!$B$16*Calculations!K173</f>
        <v>2.2320000000000002</v>
      </c>
      <c r="U173" s="81">
        <f>IF(settings!$B$13=0,(Calculations!M173*'Economic Adjustment'!O167)-Calculations!M173,0)</f>
        <v>0</v>
      </c>
      <c r="V173" s="154">
        <f>VLOOKUP(B173,'Remote School Building Weight'!$M$2:$P$174,3,FALSE)</f>
        <v>0</v>
      </c>
      <c r="W173" s="23">
        <f>'Small Dist Weight'!V172-Calculations!D173</f>
        <v>148.07896551724139</v>
      </c>
      <c r="X173" s="23">
        <f>IF(settings!$P$9=0,'Large District Weight'!H172*'Large District Weight'!G172,0)</f>
        <v>0</v>
      </c>
      <c r="Y173" s="23">
        <f t="shared" si="22"/>
        <v>1389.1749655172414</v>
      </c>
      <c r="Z173" s="23">
        <f>IF(settings!$F$13=0,'Teacher Exp'!L173,0)</f>
        <v>0</v>
      </c>
      <c r="AA173" s="23">
        <f t="shared" si="23"/>
        <v>1389.1749655172414</v>
      </c>
      <c r="AB173" s="25"/>
      <c r="AC173" s="24">
        <f>'Student Enrollment Data'!BU174</f>
        <v>0</v>
      </c>
      <c r="AD173" s="24">
        <f t="shared" si="24"/>
        <v>111.60000000000001</v>
      </c>
      <c r="AE173" s="24">
        <f>AD173*'Front page'!$B$16</f>
        <v>2.2320000000000002</v>
      </c>
      <c r="AG173" s="6">
        <f>M173*'Front page'!$E$3</f>
        <v>5479243.7976741772</v>
      </c>
      <c r="AH173" s="6">
        <f>N173*'Front page'!$E$3</f>
        <v>204735.18491309427</v>
      </c>
      <c r="AI173" s="6">
        <f>O173*'Front page'!$E$3</f>
        <v>104576.96495560931</v>
      </c>
      <c r="AJ173" s="6">
        <f>P173*'Front page'!$E$3</f>
        <v>29949.271653953841</v>
      </c>
      <c r="AK173" s="6">
        <f>Q173*'Front page'!$E$3</f>
        <v>248254.91342795439</v>
      </c>
      <c r="AL173" s="6">
        <f>S173*'Front page'!$E$3</f>
        <v>15711.09332666431</v>
      </c>
      <c r="AM173" s="5">
        <f>Z173*'Front page'!$E$3</f>
        <v>0</v>
      </c>
      <c r="AN173" s="6">
        <f>T173*'Front page'!$E$3</f>
        <v>10958.487595348357</v>
      </c>
      <c r="AO173" s="6">
        <f>U173*'Front page'!$E$3</f>
        <v>0</v>
      </c>
      <c r="AP173" s="6">
        <f>W173*'Front page'!$E$3</f>
        <v>727025.76467415167</v>
      </c>
      <c r="AQ173" s="6">
        <f>V173*'Front page'!$E$3</f>
        <v>0</v>
      </c>
      <c r="AR173" s="6">
        <f>X173*'Front page'!$E$3</f>
        <v>0</v>
      </c>
      <c r="AS173" s="6">
        <f t="shared" si="25"/>
        <v>6820455.4782209536</v>
      </c>
      <c r="AT173" s="7">
        <f>IF(AS173&gt;'Funding Comparison'!D173*(1+'Front page'!$H$10),'Funding Comparison'!D173*(1+'Front page'!$H$10),AS173)</f>
        <v>6820455.4782209536</v>
      </c>
    </row>
    <row r="174" spans="1:46" s="27" customFormat="1">
      <c r="A174" s="27" t="str">
        <f t="shared" si="18"/>
        <v>796</v>
      </c>
      <c r="B174" s="27">
        <f t="shared" si="30"/>
        <v>796</v>
      </c>
      <c r="C174" s="15" t="s">
        <v>177</v>
      </c>
      <c r="D174">
        <f>IF(settings!$G$4=0,'Student Enrollment Data'!AX175,'Student Enrollment Data'!CK175)</f>
        <v>338.5</v>
      </c>
      <c r="E174">
        <f>IF(settings!$G$4=0,'Student Enrollment Data'!AY175,'Student Enrollment Data'!CL175)</f>
        <v>172.5</v>
      </c>
      <c r="F174">
        <f>IF(settings!$G$4=0,'Student Enrollment Data'!AZ175,'Student Enrollment Data'!CM175)</f>
        <v>0</v>
      </c>
      <c r="G174" s="28">
        <f>'Student Enrollment Data'!BK175</f>
        <v>33</v>
      </c>
      <c r="H174" s="27">
        <f>'Student Enrollment Data'!BF175</f>
        <v>156.08000000000001</v>
      </c>
      <c r="I174">
        <f>SUM('Student Enrollment Data'!R175:X175,'Student Enrollment Data'!AQ175:AW175)</f>
        <v>0</v>
      </c>
      <c r="J174" s="27">
        <f>'Student Enrollment Data'!BS175</f>
        <v>8</v>
      </c>
      <c r="K174">
        <f t="shared" si="21"/>
        <v>33.85</v>
      </c>
      <c r="L174" s="25"/>
      <c r="M174" s="27">
        <f t="shared" si="31"/>
        <v>338.5</v>
      </c>
      <c r="N174" s="27">
        <f>E174*'Front page'!$B$20</f>
        <v>17.25</v>
      </c>
      <c r="O174" s="27">
        <f>F174*'Front page'!$B$21</f>
        <v>0</v>
      </c>
      <c r="P174">
        <f>G174*'Front page'!$B$18</f>
        <v>3.3000000000000003</v>
      </c>
      <c r="Q174" s="27">
        <f>IF(settings!$B$4=0,Calculations!H174,Calculations!I174) *'Front page'!$B$11</f>
        <v>15.608000000000002</v>
      </c>
      <c r="R174" s="28">
        <f>ROUND(I174*'Front page'!$B$9,2)</f>
        <v>0</v>
      </c>
      <c r="S174" s="27">
        <f>J174*'Front page'!$B$14</f>
        <v>0.8</v>
      </c>
      <c r="T174" s="81">
        <f>'Front page'!$B$16*Calculations!K174</f>
        <v>0.67700000000000005</v>
      </c>
      <c r="U174" s="81">
        <f>IF(settings!$B$13=0,(Calculations!M174*'Economic Adjustment'!O168)-Calculations!M174,0)</f>
        <v>0</v>
      </c>
      <c r="V174" s="154">
        <f>VLOOKUP(B174,'Remote School Building Weight'!$M$2:$P$174,3,FALSE)</f>
        <v>0</v>
      </c>
      <c r="W174" s="23">
        <f>'Small Dist Weight'!V173-Calculations!D174</f>
        <v>0</v>
      </c>
      <c r="X174" s="23">
        <f>IF(settings!$P$9=0,'Large District Weight'!H173*'Large District Weight'!G173,0)</f>
        <v>0</v>
      </c>
      <c r="Y174" s="23">
        <f t="shared" si="22"/>
        <v>376.13500000000005</v>
      </c>
      <c r="Z174" s="23">
        <f>IF(settings!$F$13=0,'Teacher Exp'!L174,0)</f>
        <v>0</v>
      </c>
      <c r="AA174" s="23">
        <f t="shared" si="23"/>
        <v>376.13500000000005</v>
      </c>
      <c r="AB174" s="25"/>
      <c r="AC174" s="24">
        <f>'Student Enrollment Data'!BU175</f>
        <v>1</v>
      </c>
      <c r="AD174" s="24">
        <f t="shared" si="24"/>
        <v>33.85</v>
      </c>
      <c r="AE174" s="24">
        <f>AD174*'Front page'!$B$16</f>
        <v>0.67700000000000005</v>
      </c>
      <c r="AG174" s="6">
        <f>M174*'Front page'!$E$3</f>
        <v>1661939.0909612088</v>
      </c>
      <c r="AH174" s="6">
        <f>N174*'Front page'!$E$3</f>
        <v>84692.612464049787</v>
      </c>
      <c r="AI174" s="6">
        <f>O174*'Front page'!$E$3</f>
        <v>0</v>
      </c>
      <c r="AJ174" s="6">
        <f>P174*'Front page'!$E$3</f>
        <v>16202.064993122569</v>
      </c>
      <c r="AK174" s="6">
        <f>Q174*'Front page'!$E$3</f>
        <v>76630.85770080518</v>
      </c>
      <c r="AL174" s="6">
        <f>S174*'Front page'!$E$3</f>
        <v>3927.7733316660774</v>
      </c>
      <c r="AM174" s="5">
        <f>Z174*'Front page'!$E$3</f>
        <v>0</v>
      </c>
      <c r="AN174" s="6">
        <f>T174*'Front page'!$E$3</f>
        <v>3323.8781819224182</v>
      </c>
      <c r="AO174" s="6">
        <f>U174*'Front page'!$E$3</f>
        <v>0</v>
      </c>
      <c r="AP174" s="6">
        <f>W174*'Front page'!$E$3</f>
        <v>0</v>
      </c>
      <c r="AQ174" s="6">
        <f>V174*'Front page'!$E$3</f>
        <v>0</v>
      </c>
      <c r="AR174" s="6">
        <f>X174*'Front page'!$E$3</f>
        <v>0</v>
      </c>
      <c r="AS174" s="6">
        <f t="shared" si="25"/>
        <v>1846716.277632775</v>
      </c>
      <c r="AT174" s="7">
        <f>IF(AS174&gt;'Funding Comparison'!D174*(1+'Front page'!$H$10),'Funding Comparison'!D174*(1+'Front page'!$H$10),AS174)</f>
        <v>1846716.277632775</v>
      </c>
    </row>
    <row r="175" spans="1:46" s="27" customFormat="1">
      <c r="A175" s="27" t="str">
        <f t="shared" si="18"/>
        <v>813</v>
      </c>
      <c r="B175" s="27">
        <f t="shared" si="30"/>
        <v>813</v>
      </c>
      <c r="C175" s="15" t="s">
        <v>178</v>
      </c>
      <c r="D175">
        <f>IF(settings!$G$4=0,'Student Enrollment Data'!AX176,'Student Enrollment Data'!CK176)</f>
        <v>165</v>
      </c>
      <c r="E175">
        <f>IF(settings!$G$4=0,'Student Enrollment Data'!AY176,'Student Enrollment Data'!CL176)</f>
        <v>73</v>
      </c>
      <c r="F175">
        <f>IF(settings!$G$4=0,'Student Enrollment Data'!AZ176,'Student Enrollment Data'!CM176)</f>
        <v>0</v>
      </c>
      <c r="G175" s="28">
        <f>'Student Enrollment Data'!BK176</f>
        <v>16</v>
      </c>
      <c r="H175" s="27">
        <f>'Student Enrollment Data'!BF176</f>
        <v>75.67</v>
      </c>
      <c r="I175">
        <f>SUM('Student Enrollment Data'!R176:X176,'Student Enrollment Data'!AQ176:AW176)</f>
        <v>0</v>
      </c>
      <c r="J175" s="27">
        <f>'Student Enrollment Data'!BS176</f>
        <v>13.413081274914617</v>
      </c>
      <c r="K175">
        <f t="shared" si="21"/>
        <v>16.5</v>
      </c>
      <c r="L175" s="25"/>
      <c r="M175" s="27">
        <f t="shared" si="31"/>
        <v>165</v>
      </c>
      <c r="N175" s="27">
        <f>E175*'Front page'!$B$20</f>
        <v>7.3000000000000007</v>
      </c>
      <c r="O175" s="27">
        <f>F175*'Front page'!$B$21</f>
        <v>0</v>
      </c>
      <c r="P175">
        <f>G175*'Front page'!$B$18</f>
        <v>1.6</v>
      </c>
      <c r="Q175" s="27">
        <f>IF(settings!$B$4=0,Calculations!H175,Calculations!I175) *'Front page'!$B$11</f>
        <v>7.5670000000000002</v>
      </c>
      <c r="R175" s="28">
        <f>ROUND(I175*'Front page'!$B$9,2)</f>
        <v>0</v>
      </c>
      <c r="S175" s="27">
        <f>J175*'Front page'!$B$14</f>
        <v>1.3413081274914618</v>
      </c>
      <c r="T175" s="81">
        <f>'Front page'!$B$16*Calculations!K175</f>
        <v>0.33</v>
      </c>
      <c r="U175" s="81">
        <f>IF(settings!$B$13=0,(Calculations!M175*'Economic Adjustment'!O169)-Calculations!M175,0)</f>
        <v>0</v>
      </c>
      <c r="V175" s="154">
        <f>VLOOKUP(B175,'Remote School Building Weight'!$M$2:$P$174,3,FALSE)</f>
        <v>0</v>
      </c>
      <c r="W175" s="23">
        <f>'Small Dist Weight'!V174-Calculations!D175</f>
        <v>89.252468652037635</v>
      </c>
      <c r="X175" s="23">
        <f>IF(settings!$P$9=0,'Large District Weight'!H174*'Large District Weight'!G174,0)</f>
        <v>0</v>
      </c>
      <c r="Y175" s="23">
        <f t="shared" si="22"/>
        <v>272.39077677952912</v>
      </c>
      <c r="Z175" s="23">
        <f>IF(settings!$F$13=0,'Teacher Exp'!L175,0)</f>
        <v>0</v>
      </c>
      <c r="AA175" s="23">
        <f t="shared" si="23"/>
        <v>272.39077677952912</v>
      </c>
      <c r="AB175" s="25"/>
      <c r="AC175" s="24">
        <f>'Student Enrollment Data'!BU176</f>
        <v>8</v>
      </c>
      <c r="AD175" s="24">
        <f t="shared" si="24"/>
        <v>16.5</v>
      </c>
      <c r="AE175" s="24">
        <f>AD175*'Front page'!$B$16</f>
        <v>0.33</v>
      </c>
      <c r="AG175" s="6">
        <f>M175*'Front page'!$E$3</f>
        <v>810103.24965612846</v>
      </c>
      <c r="AH175" s="6">
        <f>N175*'Front page'!$E$3</f>
        <v>35840.931651452956</v>
      </c>
      <c r="AI175" s="6">
        <f>O175*'Front page'!$E$3</f>
        <v>0</v>
      </c>
      <c r="AJ175" s="6">
        <f>P175*'Front page'!$E$3</f>
        <v>7855.5466633321548</v>
      </c>
      <c r="AK175" s="6">
        <f>Q175*'Front page'!$E$3</f>
        <v>37151.826000896508</v>
      </c>
      <c r="AL175" s="6">
        <f>S175*'Front page'!$E$3</f>
        <v>6585.4428658849074</v>
      </c>
      <c r="AM175" s="5">
        <f>Z175*'Front page'!$E$3</f>
        <v>0</v>
      </c>
      <c r="AN175" s="6">
        <f>T175*'Front page'!$E$3</f>
        <v>1620.2064993122569</v>
      </c>
      <c r="AO175" s="6">
        <f>U175*'Front page'!$E$3</f>
        <v>0</v>
      </c>
      <c r="AP175" s="6">
        <f>W175*'Front page'!$E$3</f>
        <v>438204.33269604493</v>
      </c>
      <c r="AQ175" s="6">
        <f>V175*'Front page'!$E$3</f>
        <v>0</v>
      </c>
      <c r="AR175" s="6">
        <f>X175*'Front page'!$E$3</f>
        <v>0</v>
      </c>
      <c r="AS175" s="6">
        <f t="shared" si="25"/>
        <v>1337361.536033052</v>
      </c>
      <c r="AT175" s="7">
        <f>IF(AS175&gt;'Funding Comparison'!D175*(1+'Front page'!$H$10),'Funding Comparison'!D175*(1+'Front page'!$H$10),AS175)</f>
        <v>1337361.536033052</v>
      </c>
    </row>
    <row r="177" spans="4:46">
      <c r="D177">
        <f>SUM(D3:D176)</f>
        <v>293927.13089390739</v>
      </c>
      <c r="E177">
        <f>SUM(E3:E176)</f>
        <v>78820</v>
      </c>
      <c r="F177">
        <f>SUM(F3:F176)</f>
        <v>92734.164828918409</v>
      </c>
      <c r="G177">
        <f>SUM(G3:G176)</f>
        <v>32945.749014077039</v>
      </c>
      <c r="H177">
        <f>SUM(H3:H176)</f>
        <v>130687.58000000002</v>
      </c>
      <c r="J177">
        <f>SUM(J3:J176)</f>
        <v>23763.477039218818</v>
      </c>
      <c r="M177">
        <f t="shared" ref="M177:Y177" si="32">SUM(M3:M176)</f>
        <v>294031.13089390739</v>
      </c>
      <c r="N177">
        <f t="shared" si="32"/>
        <v>7882</v>
      </c>
      <c r="O177">
        <f t="shared" si="32"/>
        <v>9273.4164828918365</v>
      </c>
      <c r="P177">
        <f t="shared" si="32"/>
        <v>3294.5749014077051</v>
      </c>
      <c r="Q177">
        <f t="shared" si="32"/>
        <v>13068.758000000003</v>
      </c>
      <c r="R177">
        <f t="shared" si="32"/>
        <v>0</v>
      </c>
      <c r="S177">
        <f t="shared" si="32"/>
        <v>2376.347703921881</v>
      </c>
      <c r="T177">
        <f t="shared" ref="T177:U177" si="33">SUM(T3:T176)</f>
        <v>588.06226178781537</v>
      </c>
      <c r="U177">
        <f t="shared" si="33"/>
        <v>0</v>
      </c>
      <c r="V177">
        <f t="shared" si="32"/>
        <v>1498.819904443731</v>
      </c>
      <c r="W177">
        <f t="shared" si="32"/>
        <v>17639.714501134196</v>
      </c>
      <c r="X177">
        <f t="shared" si="32"/>
        <v>0</v>
      </c>
      <c r="Y177">
        <f t="shared" si="32"/>
        <v>349652.82464949461</v>
      </c>
      <c r="Z177">
        <f>SUM(Z3:Z176)</f>
        <v>0</v>
      </c>
      <c r="AA177">
        <f>SUM(AA3:AA176)</f>
        <v>349652.82464949461</v>
      </c>
      <c r="AC177">
        <f>SUM(AC3:AC176)</f>
        <v>16951</v>
      </c>
      <c r="AD177">
        <f>SUM(AD3:AD176)</f>
        <v>29403.113089390739</v>
      </c>
      <c r="AE177" s="253">
        <f>SUM(AE3:AE176)</f>
        <v>588.06226178781537</v>
      </c>
      <c r="AF177" s="40"/>
      <c r="AG177" s="49">
        <f t="shared" ref="AG177:AR177" si="34">SUM(AG3:AG176)</f>
        <v>1443609543.255883</v>
      </c>
      <c r="AH177" s="49">
        <f t="shared" si="34"/>
        <v>38698386.750240013</v>
      </c>
      <c r="AI177" s="49">
        <f t="shared" si="34"/>
        <v>45529847.443669043</v>
      </c>
      <c r="AJ177" s="49">
        <f t="shared" si="34"/>
        <v>16175429.296156975</v>
      </c>
      <c r="AK177" s="49">
        <f t="shared" si="34"/>
        <v>64163898.937997133</v>
      </c>
      <c r="AL177" s="49">
        <f t="shared" si="34"/>
        <v>11667193.922787854</v>
      </c>
      <c r="AM177" s="49">
        <f t="shared" si="34"/>
        <v>0</v>
      </c>
      <c r="AN177" s="49">
        <f t="shared" ref="AN177:AO177" si="35">SUM(AN3:AN176)</f>
        <v>2887219.0865117665</v>
      </c>
      <c r="AO177" s="49">
        <f t="shared" si="35"/>
        <v>0</v>
      </c>
      <c r="AP177" s="49">
        <f t="shared" si="34"/>
        <v>86606000.244697869</v>
      </c>
      <c r="AQ177" s="49">
        <f t="shared" si="34"/>
        <v>7358781.0620554816</v>
      </c>
      <c r="AR177" s="49">
        <f t="shared" si="34"/>
        <v>0</v>
      </c>
      <c r="AS177" s="49">
        <f>SUM(AS3:AS176)</f>
        <v>1716696300.000001</v>
      </c>
      <c r="AT177" s="49">
        <f>SUM(AT3:AT176)</f>
        <v>378977030.10727346</v>
      </c>
    </row>
    <row r="178" spans="4:46" ht="15.75">
      <c r="M178" s="33">
        <f>M177/$AA$177</f>
        <v>0.84092308188459641</v>
      </c>
      <c r="N178" s="33">
        <f>N177/$AA$177</f>
        <v>2.2542360433956795E-2</v>
      </c>
      <c r="O178" s="33">
        <f>O177/$AA$177</f>
        <v>2.6521783406691667E-2</v>
      </c>
      <c r="P178" s="33">
        <f>P177/$AA$177</f>
        <v>9.4224175214666517E-3</v>
      </c>
      <c r="Q178" s="33">
        <f>Q177/$AA$177</f>
        <v>3.7376383311362144E-2</v>
      </c>
      <c r="R178" s="33"/>
      <c r="S178" s="33">
        <f>S177/$AA$177</f>
        <v>6.796306325578874E-3</v>
      </c>
      <c r="T178" s="33">
        <f t="shared" ref="T178" si="36">T177/$AA$177</f>
        <v>1.6818461637691945E-3</v>
      </c>
      <c r="U178" s="33"/>
      <c r="V178" s="33"/>
      <c r="W178" s="33">
        <f>W177/$AA$177</f>
        <v>5.044922636851832E-2</v>
      </c>
      <c r="X178" s="33"/>
      <c r="Y178" s="33"/>
      <c r="Z178" s="33"/>
      <c r="AE178" s="50"/>
      <c r="AF178" s="50"/>
      <c r="AG178" s="50">
        <f>SUM(AG177/AS177)</f>
        <v>0.84092308188459552</v>
      </c>
      <c r="AH178" s="50">
        <f>SUM(AH177/AS177)</f>
        <v>2.2542360433956774E-2</v>
      </c>
      <c r="AI178" s="50">
        <f>SUM(AI177/AS177)</f>
        <v>2.6521783406691691E-2</v>
      </c>
      <c r="AJ178" s="50">
        <f>SUM(AJ177/AS177)</f>
        <v>9.4224175214666483E-3</v>
      </c>
      <c r="AK178" s="50">
        <f>SUM(AK177/AS177)</f>
        <v>3.7376383311362116E-2</v>
      </c>
      <c r="AL178" s="50">
        <f>SUM(AL177/AS177)</f>
        <v>6.796306325578874E-3</v>
      </c>
      <c r="AM178" s="50">
        <f>SUM(AM177/AT177)</f>
        <v>0</v>
      </c>
      <c r="AN178" s="50">
        <f>SUM(AN177/AT177)</f>
        <v>7.618454041118293E-3</v>
      </c>
      <c r="AO178" s="50">
        <f>SUM(AO177/AS177)</f>
        <v>0</v>
      </c>
      <c r="AP178" s="50">
        <f>SUM(AP177/AS177)</f>
        <v>5.0449226368518313E-2</v>
      </c>
      <c r="AQ178" s="50">
        <f>SUM(AQ177/AS177)</f>
        <v>4.2865945840597879E-3</v>
      </c>
      <c r="AR178" s="50">
        <f>SUM(AR177/AS177)</f>
        <v>0</v>
      </c>
    </row>
    <row r="179" spans="4:46">
      <c r="AG179" s="82">
        <f>AG177/M177</f>
        <v>4909.7166645825937</v>
      </c>
      <c r="AH179" s="82">
        <f>AH177/N177</f>
        <v>4909.7166645825946</v>
      </c>
      <c r="AI179" s="82">
        <f>AI177/O177</f>
        <v>4909.7166645826037</v>
      </c>
      <c r="AJ179" s="82">
        <f>AJ177/P177</f>
        <v>4909.7166645825964</v>
      </c>
      <c r="AK179" s="82">
        <f>AK177/Q177</f>
        <v>4909.7166645825955</v>
      </c>
      <c r="AL179" s="82">
        <f>AL177/S177</f>
        <v>4909.7166645825982</v>
      </c>
      <c r="AM179" s="158" t="e">
        <f>AM177/Z177</f>
        <v>#DIV/0!</v>
      </c>
      <c r="AN179" s="82">
        <f>AN177/T177</f>
        <v>4909.7166645825901</v>
      </c>
      <c r="AO179" s="82" t="e">
        <f>AO177/U177</f>
        <v>#DIV/0!</v>
      </c>
      <c r="AP179" s="82">
        <f>AP177/W177</f>
        <v>4909.7166645825973</v>
      </c>
      <c r="AQ179" s="82">
        <f>AQ177/V177</f>
        <v>4909.7166645825964</v>
      </c>
      <c r="AR179" s="82" t="e">
        <f>AR177/X177</f>
        <v>#DIV/0!</v>
      </c>
      <c r="AS179" s="82">
        <f>AS177/AA177</f>
        <v>4909.7166645825992</v>
      </c>
    </row>
    <row r="181" spans="4:46">
      <c r="AG181" s="6"/>
      <c r="AH181" s="6"/>
      <c r="AI181" s="6" t="s">
        <v>811</v>
      </c>
      <c r="AJ181" s="5">
        <f>SUM(G177*AJ179)</f>
        <v>161754292.9615697</v>
      </c>
      <c r="AK181" s="6"/>
      <c r="AL181" s="6"/>
      <c r="AM181" s="6"/>
      <c r="AN181" s="6"/>
      <c r="AO181" s="6"/>
      <c r="AP181" s="6"/>
      <c r="AQ181" s="6"/>
      <c r="AR181" s="6"/>
      <c r="AS181" s="6"/>
      <c r="AT181" s="7"/>
    </row>
    <row r="182" spans="4:46">
      <c r="AG182" s="6"/>
      <c r="AH182" s="6"/>
      <c r="AI182" s="258" t="s">
        <v>810</v>
      </c>
      <c r="AJ182" s="259">
        <f>SUM(AJ177+AJ181)</f>
        <v>177929722.25772667</v>
      </c>
      <c r="AK182" s="6"/>
      <c r="AL182" s="6"/>
      <c r="AM182" s="6"/>
      <c r="AN182" s="6"/>
      <c r="AO182" s="6"/>
      <c r="AP182" s="6"/>
      <c r="AQ182" s="6"/>
      <c r="AR182" s="6"/>
      <c r="AS182" s="6"/>
      <c r="AT182" s="6"/>
    </row>
  </sheetData>
  <mergeCells count="3">
    <mergeCell ref="AC1:AE1"/>
    <mergeCell ref="D1:J1"/>
    <mergeCell ref="M1:W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A6" zoomScale="150" zoomScaleNormal="150" workbookViewId="0">
      <selection activeCell="A26" sqref="A26"/>
    </sheetView>
  </sheetViews>
  <sheetFormatPr defaultColWidth="8.85546875" defaultRowHeight="15"/>
  <cols>
    <col min="1" max="1" width="25.28515625" customWidth="1"/>
    <col min="6" max="6" width="14.85546875" customWidth="1"/>
    <col min="8" max="8" width="4.85546875" customWidth="1"/>
    <col min="9" max="9" width="15.28515625" customWidth="1"/>
    <col min="10" max="10" width="3.7109375" customWidth="1"/>
    <col min="11" max="11" width="10.42578125" bestFit="1" customWidth="1"/>
    <col min="13" max="13" width="4.140625" customWidth="1"/>
  </cols>
  <sheetData>
    <row r="1" spans="1:18" ht="45">
      <c r="A1" s="159" t="s">
        <v>1</v>
      </c>
      <c r="C1" s="373" t="s">
        <v>416</v>
      </c>
      <c r="D1" s="373"/>
      <c r="E1" s="373"/>
      <c r="F1" s="351" t="s">
        <v>315</v>
      </c>
      <c r="G1" s="351"/>
      <c r="I1" s="160" t="s">
        <v>323</v>
      </c>
      <c r="K1" s="369" t="s">
        <v>572</v>
      </c>
      <c r="L1" s="369"/>
      <c r="N1" s="351" t="s">
        <v>421</v>
      </c>
      <c r="O1" s="351"/>
      <c r="P1" s="351"/>
      <c r="Q1" s="351"/>
    </row>
    <row r="2" spans="1:18">
      <c r="A2" s="167" t="s">
        <v>540</v>
      </c>
      <c r="B2" s="167">
        <v>0</v>
      </c>
      <c r="C2" s="169" t="s">
        <v>282</v>
      </c>
      <c r="D2" s="164">
        <v>0</v>
      </c>
      <c r="E2" s="167"/>
      <c r="F2" s="169" t="s">
        <v>327</v>
      </c>
      <c r="G2" s="164">
        <v>0</v>
      </c>
      <c r="I2" s="164" t="s">
        <v>284</v>
      </c>
      <c r="K2" s="164" t="s">
        <v>414</v>
      </c>
      <c r="L2" s="164">
        <v>0</v>
      </c>
      <c r="N2" s="164" t="s">
        <v>284</v>
      </c>
      <c r="O2" s="164">
        <v>0</v>
      </c>
      <c r="P2" s="164">
        <v>17500</v>
      </c>
      <c r="Q2" s="166">
        <v>0</v>
      </c>
    </row>
    <row r="3" spans="1:18">
      <c r="A3" s="167" t="s">
        <v>537</v>
      </c>
      <c r="B3" s="167">
        <v>1</v>
      </c>
      <c r="C3" s="169" t="s">
        <v>283</v>
      </c>
      <c r="D3" s="164">
        <v>1</v>
      </c>
      <c r="E3" s="167"/>
      <c r="F3" s="169" t="s">
        <v>306</v>
      </c>
      <c r="G3" s="164">
        <v>1</v>
      </c>
      <c r="I3" s="164" t="s">
        <v>285</v>
      </c>
      <c r="K3" s="164" t="s">
        <v>415</v>
      </c>
      <c r="L3" s="164">
        <v>1</v>
      </c>
      <c r="N3" s="164" t="s">
        <v>285</v>
      </c>
      <c r="O3" s="164">
        <v>1</v>
      </c>
      <c r="P3" s="164">
        <v>20000</v>
      </c>
      <c r="Q3" s="166">
        <f>'Front page'!E17</f>
        <v>0.02</v>
      </c>
      <c r="R3" s="63"/>
    </row>
    <row r="4" spans="1:18" ht="15.75" thickBot="1">
      <c r="A4" s="168" t="s">
        <v>542</v>
      </c>
      <c r="B4" s="172">
        <f>VLOOKUP('Front page'!A10,settings!A2:B3,2,FALSE)</f>
        <v>0</v>
      </c>
      <c r="C4" s="171" t="s">
        <v>542</v>
      </c>
      <c r="D4" s="164">
        <f>VLOOKUP('Front page'!$E$9,settings!C2:D3,2,FALSE)</f>
        <v>1</v>
      </c>
      <c r="E4" s="167"/>
      <c r="F4" s="171" t="s">
        <v>542</v>
      </c>
      <c r="G4" s="164">
        <f>VLOOKUP('Front page'!$A$7,settings!F2:G3,2,FALSE)</f>
        <v>1</v>
      </c>
      <c r="K4" s="165" t="s">
        <v>542</v>
      </c>
      <c r="L4" s="164">
        <f>VLOOKUP('Front page'!E13,settings!K2:L3,2,FALSE)</f>
        <v>0</v>
      </c>
      <c r="N4" s="164"/>
      <c r="O4" s="164"/>
      <c r="P4" s="164"/>
      <c r="Q4" s="164"/>
    </row>
    <row r="5" spans="1:18" ht="25.5" customHeight="1" thickTop="1">
      <c r="B5" s="371" t="s">
        <v>541</v>
      </c>
      <c r="C5" s="164" t="s">
        <v>284</v>
      </c>
      <c r="D5" s="164">
        <v>0</v>
      </c>
      <c r="E5" s="170"/>
      <c r="N5" s="164"/>
      <c r="O5" s="164"/>
      <c r="P5" s="164">
        <f>P3-P2</f>
        <v>2500</v>
      </c>
      <c r="Q5" s="164">
        <f>Q3-Q2</f>
        <v>0.02</v>
      </c>
    </row>
    <row r="6" spans="1:18">
      <c r="B6" s="372"/>
      <c r="C6" s="164" t="s">
        <v>285</v>
      </c>
      <c r="D6" s="164">
        <v>1</v>
      </c>
      <c r="E6" s="170"/>
      <c r="N6" s="164"/>
      <c r="O6" s="164" t="s">
        <v>419</v>
      </c>
      <c r="P6" s="164">
        <f>Q5/P5</f>
        <v>7.9999999999999996E-6</v>
      </c>
      <c r="Q6" s="164"/>
    </row>
    <row r="7" spans="1:18">
      <c r="B7" s="169"/>
      <c r="C7" s="165" t="s">
        <v>542</v>
      </c>
      <c r="D7" s="164">
        <f>VLOOKUP('Front page'!$E$10,settings!C5:D6,2,)</f>
        <v>0</v>
      </c>
      <c r="E7" s="170"/>
      <c r="N7" s="164"/>
      <c r="O7" s="164" t="s">
        <v>420</v>
      </c>
      <c r="P7" s="164">
        <f>Q3-(P6*P3)</f>
        <v>-0.14000000000000001</v>
      </c>
      <c r="Q7" s="164"/>
    </row>
    <row r="8" spans="1:18">
      <c r="N8" s="164"/>
      <c r="O8" s="164"/>
      <c r="P8" s="164"/>
      <c r="Q8" s="164"/>
    </row>
    <row r="9" spans="1:18">
      <c r="N9" s="164"/>
      <c r="O9" s="165" t="s">
        <v>542</v>
      </c>
      <c r="P9" s="164">
        <f>VLOOKUP('Front page'!E16,settings!N2:O3,2,FALSE)</f>
        <v>1</v>
      </c>
      <c r="Q9" s="164"/>
    </row>
    <row r="10" spans="1:18">
      <c r="A10" s="373" t="s">
        <v>571</v>
      </c>
      <c r="B10" s="373"/>
      <c r="C10" s="373"/>
      <c r="E10" t="s">
        <v>798</v>
      </c>
    </row>
    <row r="11" spans="1:18">
      <c r="A11" s="164" t="s">
        <v>284</v>
      </c>
      <c r="B11" s="164">
        <v>0</v>
      </c>
      <c r="C11" s="164"/>
      <c r="E11" t="s">
        <v>284</v>
      </c>
      <c r="F11">
        <v>0</v>
      </c>
    </row>
    <row r="12" spans="1:18">
      <c r="A12" s="164" t="s">
        <v>285</v>
      </c>
      <c r="B12" s="164">
        <v>1</v>
      </c>
      <c r="C12" s="164"/>
      <c r="E12" t="s">
        <v>285</v>
      </c>
      <c r="F12">
        <v>1</v>
      </c>
    </row>
    <row r="13" spans="1:18">
      <c r="A13" s="165" t="s">
        <v>542</v>
      </c>
      <c r="B13" s="164">
        <f>VLOOKUP('Front page'!E20,settings!A11:B12,2,FALSE)</f>
        <v>1</v>
      </c>
      <c r="C13" s="164"/>
      <c r="E13" s="243" t="s">
        <v>799</v>
      </c>
      <c r="F13">
        <f>VLOOKUP('Front page'!E23,settings!E11:F12,2,FALSE)</f>
        <v>1</v>
      </c>
    </row>
    <row r="14" spans="1:18">
      <c r="A14" s="164"/>
      <c r="B14" s="164">
        <v>1</v>
      </c>
      <c r="C14" s="166">
        <v>0</v>
      </c>
    </row>
    <row r="15" spans="1:18">
      <c r="A15" s="164"/>
      <c r="B15" s="164">
        <v>-0.5</v>
      </c>
      <c r="C15" s="166">
        <f>'Front page'!E21</f>
        <v>0.1</v>
      </c>
    </row>
    <row r="16" spans="1:18">
      <c r="A16" s="164"/>
      <c r="B16" s="164"/>
      <c r="C16" s="164"/>
    </row>
    <row r="17" spans="1:3">
      <c r="A17" s="164"/>
      <c r="B17" s="164">
        <f>B15-B14</f>
        <v>-1.5</v>
      </c>
      <c r="C17" s="166">
        <f>C15-C14</f>
        <v>0.1</v>
      </c>
    </row>
    <row r="18" spans="1:3">
      <c r="A18" s="164" t="s">
        <v>419</v>
      </c>
      <c r="B18" s="164">
        <v>0</v>
      </c>
      <c r="C18" s="164"/>
    </row>
    <row r="19" spans="1:3">
      <c r="A19" s="164" t="s">
        <v>420</v>
      </c>
      <c r="B19" s="164">
        <f>C15-(B18*B15)</f>
        <v>0.1</v>
      </c>
      <c r="C19" s="164"/>
    </row>
  </sheetData>
  <mergeCells count="6">
    <mergeCell ref="N1:Q1"/>
    <mergeCell ref="B5:B6"/>
    <mergeCell ref="K1:L1"/>
    <mergeCell ref="F1:G1"/>
    <mergeCell ref="A10:C10"/>
    <mergeCell ref="C1:E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zoomScale="120" zoomScaleNormal="120" workbookViewId="0">
      <pane xSplit="3" ySplit="2" topLeftCell="I3" activePane="bottomRight" state="frozen"/>
      <selection pane="topRight" activeCell="D1" sqref="D1"/>
      <selection pane="bottomLeft" activeCell="A3" sqref="A3"/>
      <selection pane="bottomRight" activeCell="AG9" sqref="AG9"/>
    </sheetView>
  </sheetViews>
  <sheetFormatPr defaultColWidth="8.85546875" defaultRowHeight="15"/>
  <cols>
    <col min="1" max="1" width="5.7109375" customWidth="1"/>
    <col min="2" max="2" width="6" customWidth="1"/>
    <col min="3" max="3" width="47.140625" bestFit="1" customWidth="1"/>
    <col min="4" max="4" width="14.42578125" style="298" bestFit="1" customWidth="1"/>
    <col min="5" max="5" width="13.42578125" style="298" bestFit="1" customWidth="1"/>
    <col min="6" max="6" width="19.85546875" style="298" customWidth="1"/>
    <col min="7" max="7" width="19.85546875" style="322" hidden="1" customWidth="1"/>
    <col min="8" max="8" width="19.85546875" style="298" hidden="1" customWidth="1"/>
    <col min="9" max="9" width="0.140625" style="316" customWidth="1"/>
    <col min="10" max="10" width="15" style="298" bestFit="1" customWidth="1"/>
    <col min="11" max="12" width="15" customWidth="1"/>
    <col min="13" max="13" width="19.85546875" style="86" hidden="1" customWidth="1"/>
    <col min="14" max="14" width="19.42578125" hidden="1" customWidth="1"/>
    <col min="15" max="15" width="15" hidden="1" customWidth="1"/>
    <col min="16" max="17" width="19.85546875" hidden="1" customWidth="1"/>
    <col min="18" max="18" width="8.7109375" style="25" customWidth="1"/>
    <col min="19" max="19" width="20.7109375" customWidth="1"/>
    <col min="20" max="20" width="12.42578125" hidden="1" customWidth="1"/>
    <col min="21" max="21" width="19.7109375" customWidth="1"/>
    <col min="22" max="22" width="21" hidden="1" customWidth="1"/>
    <col min="23" max="23" width="15" bestFit="1" customWidth="1"/>
    <col min="24" max="24" width="16.140625" hidden="1" customWidth="1"/>
    <col min="25" max="25" width="18.28515625" hidden="1" customWidth="1"/>
    <col min="26" max="26" width="19.7109375" style="8" hidden="1" customWidth="1"/>
    <col min="27" max="27" width="19.42578125" hidden="1" customWidth="1"/>
    <col min="28" max="28" width="20.85546875" hidden="1" customWidth="1"/>
    <col min="29" max="29" width="19.42578125" hidden="1" customWidth="1"/>
    <col min="30" max="30" width="18.42578125" hidden="1" customWidth="1"/>
    <col min="31" max="32" width="20.28515625" hidden="1" customWidth="1"/>
    <col min="33" max="33" width="20.140625" customWidth="1"/>
    <col min="34" max="34" width="20" customWidth="1"/>
  </cols>
  <sheetData>
    <row r="1" spans="1:34">
      <c r="C1" s="2"/>
      <c r="D1" s="314" t="s">
        <v>531</v>
      </c>
      <c r="E1" s="314"/>
      <c r="F1" s="314"/>
      <c r="G1" s="315"/>
      <c r="H1" s="314"/>
      <c r="J1" s="351" t="s">
        <v>532</v>
      </c>
      <c r="K1" s="351"/>
      <c r="L1" s="351"/>
      <c r="M1" s="178"/>
      <c r="N1" s="177"/>
      <c r="X1" s="53">
        <f>SUM('Front page'!H10)</f>
        <v>0.05</v>
      </c>
    </row>
    <row r="2" spans="1:34" ht="44.1" customHeight="1">
      <c r="A2" s="9" t="s">
        <v>179</v>
      </c>
      <c r="B2" s="10" t="s">
        <v>180</v>
      </c>
      <c r="C2" s="10" t="s">
        <v>181</v>
      </c>
      <c r="D2" s="317" t="s">
        <v>249</v>
      </c>
      <c r="E2" s="317" t="s">
        <v>250</v>
      </c>
      <c r="F2" s="317" t="s">
        <v>256</v>
      </c>
      <c r="G2" s="318" t="s">
        <v>307</v>
      </c>
      <c r="H2" s="317" t="s">
        <v>581</v>
      </c>
      <c r="I2" s="317" t="s">
        <v>583</v>
      </c>
      <c r="J2" s="319" t="s">
        <v>257</v>
      </c>
      <c r="K2" s="32" t="s">
        <v>250</v>
      </c>
      <c r="L2" s="32" t="s">
        <v>318</v>
      </c>
      <c r="M2" s="179" t="s">
        <v>307</v>
      </c>
      <c r="N2" s="163" t="s">
        <v>581</v>
      </c>
      <c r="O2" s="185" t="s">
        <v>583</v>
      </c>
      <c r="P2" s="162" t="s">
        <v>582</v>
      </c>
      <c r="Q2" s="162" t="s">
        <v>584</v>
      </c>
      <c r="R2" s="186"/>
      <c r="S2" s="3" t="s">
        <v>839</v>
      </c>
      <c r="T2" s="3" t="s">
        <v>251</v>
      </c>
      <c r="U2" s="173" t="s">
        <v>845</v>
      </c>
      <c r="V2" s="74" t="s">
        <v>325</v>
      </c>
      <c r="W2" s="32" t="s">
        <v>317</v>
      </c>
      <c r="X2" s="8" t="s">
        <v>319</v>
      </c>
      <c r="Y2" s="42" t="s">
        <v>321</v>
      </c>
      <c r="Z2" s="43" t="s">
        <v>320</v>
      </c>
      <c r="AA2" t="s">
        <v>325</v>
      </c>
      <c r="AB2" t="s">
        <v>586</v>
      </c>
      <c r="AC2" s="190" t="s">
        <v>589</v>
      </c>
      <c r="AD2" s="190" t="s">
        <v>590</v>
      </c>
      <c r="AE2" s="190" t="s">
        <v>591</v>
      </c>
      <c r="AF2" s="190" t="s">
        <v>317</v>
      </c>
      <c r="AG2" s="323" t="s">
        <v>879</v>
      </c>
      <c r="AH2" s="190" t="s">
        <v>878</v>
      </c>
    </row>
    <row r="3" spans="1:34">
      <c r="A3" s="27" t="str">
        <f>RIGHT(C3,3)</f>
        <v>453</v>
      </c>
      <c r="B3" s="27">
        <f>A3*1</f>
        <v>453</v>
      </c>
      <c r="C3" s="15" t="s">
        <v>128</v>
      </c>
      <c r="D3" s="299">
        <v>3829703.5700000003</v>
      </c>
      <c r="E3" s="299">
        <v>151446.95000000001</v>
      </c>
      <c r="F3" s="299">
        <f>D3+E3</f>
        <v>3981150.5200000005</v>
      </c>
      <c r="G3" s="300">
        <v>470</v>
      </c>
      <c r="H3" s="301">
        <f>SUM(F3/G3)</f>
        <v>8470.5330212765966</v>
      </c>
      <c r="I3" s="302">
        <f>F3/$F$177</f>
        <v>2.2779632261235166E-3</v>
      </c>
      <c r="J3" s="303">
        <f>Calculations!AS120</f>
        <v>3594327.5323025985</v>
      </c>
      <c r="K3" s="5">
        <f>E3*1.091947</f>
        <v>165372.04271165002</v>
      </c>
      <c r="L3" s="5">
        <f>J3+K3</f>
        <v>3759699.5750142485</v>
      </c>
      <c r="M3" s="119">
        <v>470</v>
      </c>
      <c r="N3" s="55">
        <f>SUM(L3/M3)</f>
        <v>7999.3607979026565</v>
      </c>
      <c r="O3" s="33">
        <f>L3/$L$177</f>
        <v>1.9586323997671752E-3</v>
      </c>
      <c r="P3" s="180">
        <f>SUM(H3*'Front page'!$H$10)+H3</f>
        <v>8894.0596723404269</v>
      </c>
      <c r="Q3" s="180">
        <f>MIN(N3,P3)*M3</f>
        <v>3759699.5750142485</v>
      </c>
      <c r="R3" s="187"/>
      <c r="S3" s="5">
        <f>L3-F3</f>
        <v>-221450.94498575199</v>
      </c>
      <c r="T3" s="5">
        <f>IF(S3&lt;0,S3,"")</f>
        <v>-221450.94498575199</v>
      </c>
      <c r="U3" s="5">
        <f>SUM(Q3-F3)</f>
        <v>-221450.94498575199</v>
      </c>
      <c r="V3" s="5">
        <f>SUM(Q3-L3)</f>
        <v>0</v>
      </c>
      <c r="W3" s="52">
        <f>SUM(S3/F3)</f>
        <v>-5.5624861173486091E-2</v>
      </c>
      <c r="X3" s="6">
        <f>SUM(F3*$X$1)+F3</f>
        <v>4180208.0460000006</v>
      </c>
      <c r="Y3" s="5">
        <f>MIN(L3,Q3)</f>
        <v>3759699.5750142485</v>
      </c>
      <c r="Z3" s="54">
        <f>SUM(Y3-F3)</f>
        <v>-221450.94498575199</v>
      </c>
      <c r="AA3" s="5">
        <f>SUM(Y3-L3)</f>
        <v>0</v>
      </c>
      <c r="AB3" s="55">
        <f>SUM(F3*'Front page'!$H$11)+F3</f>
        <v>4100585.0356000005</v>
      </c>
      <c r="AC3" s="55">
        <f>MAX(AB3,L3)</f>
        <v>4100585.0356000005</v>
      </c>
      <c r="AD3" s="55">
        <f>MAX(Q3,AB3)</f>
        <v>4100585.0356000005</v>
      </c>
      <c r="AE3" s="55">
        <f>SUM(AC3-F3)</f>
        <v>119434.51560000004</v>
      </c>
      <c r="AF3" s="53">
        <f>SUM(AE3/F3)</f>
        <v>3.0000000000000006E-2</v>
      </c>
      <c r="AG3" s="313">
        <f>SUM(AD3-F3)</f>
        <v>119434.51560000004</v>
      </c>
      <c r="AH3" s="53">
        <f>SUM(AG3/F3)</f>
        <v>3.0000000000000006E-2</v>
      </c>
    </row>
    <row r="4" spans="1:34">
      <c r="A4" t="str">
        <f>RIGHT(C4,3)</f>
        <v>215</v>
      </c>
      <c r="B4">
        <f>A4*1</f>
        <v>215</v>
      </c>
      <c r="C4" s="14" t="s">
        <v>59</v>
      </c>
      <c r="D4" s="299">
        <v>12108239.67</v>
      </c>
      <c r="E4" s="299">
        <v>1091248.25</v>
      </c>
      <c r="F4" s="299">
        <f>D4+E4</f>
        <v>13199487.92</v>
      </c>
      <c r="G4" s="300">
        <v>2054.5</v>
      </c>
      <c r="H4" s="301">
        <f>SUM(F4/G4)</f>
        <v>6424.6716573375516</v>
      </c>
      <c r="I4" s="302">
        <f>F4/$F$177</f>
        <v>7.5525775612778345E-3</v>
      </c>
      <c r="J4" s="303">
        <f>Calculations!AS51</f>
        <v>11864683.015001889</v>
      </c>
      <c r="K4" s="5">
        <f>E4*1.091947</f>
        <v>1191585.2528427499</v>
      </c>
      <c r="L4" s="5">
        <f>J4+K4</f>
        <v>13056268.26784464</v>
      </c>
      <c r="M4" s="119">
        <v>2054.5</v>
      </c>
      <c r="N4" s="55">
        <f>SUM(L4/M4)</f>
        <v>6354.9614348233827</v>
      </c>
      <c r="O4" s="33">
        <f>L4/$L$177</f>
        <v>6.8017216639857866E-3</v>
      </c>
      <c r="P4" s="180">
        <f>SUM(H4*'Front page'!$H$10)+H4</f>
        <v>6745.905240204429</v>
      </c>
      <c r="Q4" s="180">
        <f>MIN(N4,P4)*M4</f>
        <v>13056268.26784464</v>
      </c>
      <c r="R4" s="187"/>
      <c r="S4" s="5">
        <f>L4-F4</f>
        <v>-143219.65215536021</v>
      </c>
      <c r="T4" s="5">
        <f>IF(S4&lt;0,S4,"")</f>
        <v>-143219.65215536021</v>
      </c>
      <c r="U4" s="5">
        <f>SUM(Q4-F4)</f>
        <v>-143219.65215536021</v>
      </c>
      <c r="V4" s="5">
        <f>SUM(Q4-L4)</f>
        <v>0</v>
      </c>
      <c r="W4" s="52">
        <f>SUM(S4/F4)</f>
        <v>-1.0850394577682996E-2</v>
      </c>
      <c r="X4" s="6">
        <f>SUM(F4*$X$1)+F4</f>
        <v>13859462.316</v>
      </c>
      <c r="Y4" s="5">
        <f>MIN(L4,Q4)</f>
        <v>13056268.26784464</v>
      </c>
      <c r="Z4" s="54">
        <f>SUM(Y4-F4)</f>
        <v>-143219.65215536021</v>
      </c>
      <c r="AA4" s="5">
        <f>SUM(Y4-L4)</f>
        <v>0</v>
      </c>
      <c r="AB4" s="55">
        <f>SUM(F4*'Front page'!$H$11)+F4</f>
        <v>13595472.557599999</v>
      </c>
      <c r="AC4" s="55">
        <f>MAX(AB4,L4)</f>
        <v>13595472.557599999</v>
      </c>
      <c r="AD4" s="55">
        <f>MAX(Q4,AB4)</f>
        <v>13595472.557599999</v>
      </c>
      <c r="AE4" s="55">
        <f>SUM(AC4-F4)</f>
        <v>395984.63759999909</v>
      </c>
      <c r="AF4" s="53">
        <f>SUM(AE4/F4)</f>
        <v>2.999999999999993E-2</v>
      </c>
      <c r="AG4" s="313">
        <f>SUM(AD4-F4)</f>
        <v>395984.63759999909</v>
      </c>
      <c r="AH4" s="53">
        <f>SUM(AG4/F4)</f>
        <v>2.999999999999993E-2</v>
      </c>
    </row>
    <row r="5" spans="1:34">
      <c r="A5" t="str">
        <f>RIGHT(C5,3)</f>
        <v>233</v>
      </c>
      <c r="B5">
        <f>A5*1</f>
        <v>233</v>
      </c>
      <c r="C5" s="14" t="s">
        <v>63</v>
      </c>
      <c r="D5" s="299">
        <v>2330060.9500000002</v>
      </c>
      <c r="E5" s="299">
        <v>209251.4</v>
      </c>
      <c r="F5" s="299">
        <f>D5+E5</f>
        <v>2539312.35</v>
      </c>
      <c r="G5" s="300">
        <v>327</v>
      </c>
      <c r="H5" s="301">
        <f>SUM(F5/G5)</f>
        <v>7765.4811926605507</v>
      </c>
      <c r="I5" s="302">
        <f>F5/$F$177</f>
        <v>1.4529619324569743E-3</v>
      </c>
      <c r="J5" s="303">
        <f>Calculations!AS55</f>
        <v>2250111.2520889658</v>
      </c>
      <c r="K5" s="5">
        <f>E5*1.091947</f>
        <v>228491.43847579998</v>
      </c>
      <c r="L5" s="5">
        <f>J5+K5</f>
        <v>2478602.6905647656</v>
      </c>
      <c r="M5" s="119">
        <v>327</v>
      </c>
      <c r="N5" s="55">
        <f>SUM(L5/M5)</f>
        <v>7579.824741788274</v>
      </c>
      <c r="O5" s="33">
        <f>L5/$L$177</f>
        <v>1.2912392171312906E-3</v>
      </c>
      <c r="P5" s="180">
        <f>SUM(H5*'Front page'!$H$10)+H5</f>
        <v>8153.7552522935785</v>
      </c>
      <c r="Q5" s="180">
        <f>MIN(N5,P5)*M5</f>
        <v>2478602.6905647656</v>
      </c>
      <c r="R5" s="187"/>
      <c r="S5" s="5">
        <f>L5-F5</f>
        <v>-60709.659435234498</v>
      </c>
      <c r="T5" s="5">
        <f>IF(S5&lt;0,S5,"")</f>
        <v>-60709.659435234498</v>
      </c>
      <c r="U5" s="5">
        <f>SUM(Q5-F5)</f>
        <v>-60709.659435234498</v>
      </c>
      <c r="V5" s="5">
        <f>SUM(Q5-L5)</f>
        <v>0</v>
      </c>
      <c r="W5" s="52">
        <f>SUM(S5/F5)</f>
        <v>-2.3907913272360724E-2</v>
      </c>
      <c r="X5" s="6">
        <f>SUM(F5*$X$1)+F5</f>
        <v>2666277.9675000003</v>
      </c>
      <c r="Y5" s="5">
        <f>MIN(L5,Q5)</f>
        <v>2478602.6905647656</v>
      </c>
      <c r="Z5" s="54">
        <f>SUM(Y5-F5)</f>
        <v>-60709.659435234498</v>
      </c>
      <c r="AA5" s="5">
        <f>SUM(Y5-L5)</f>
        <v>0</v>
      </c>
      <c r="AB5" s="55">
        <f>SUM(F5*'Front page'!$H$11)+F5</f>
        <v>2615491.7205000003</v>
      </c>
      <c r="AC5" s="55">
        <f>MAX(AB5,L5)</f>
        <v>2615491.7205000003</v>
      </c>
      <c r="AD5" s="55">
        <f>MAX(Q5,AB5)</f>
        <v>2615491.7205000003</v>
      </c>
      <c r="AE5" s="55">
        <f>SUM(AC5-F5)</f>
        <v>76179.370500000194</v>
      </c>
      <c r="AF5" s="53">
        <f>SUM(AE5/F5)</f>
        <v>3.0000000000000075E-2</v>
      </c>
      <c r="AG5" s="313">
        <f>SUM(AD5-F5)</f>
        <v>76179.370500000194</v>
      </c>
      <c r="AH5" s="53">
        <f>SUM(AG5/F5)</f>
        <v>3.0000000000000075E-2</v>
      </c>
    </row>
    <row r="6" spans="1:34">
      <c r="A6" s="27" t="str">
        <f>RIGHT(C6,3)</f>
        <v>486</v>
      </c>
      <c r="B6" s="27">
        <f>A6*1</f>
        <v>486</v>
      </c>
      <c r="C6" s="15" t="s">
        <v>157</v>
      </c>
      <c r="D6" s="299">
        <v>893402.33000000007</v>
      </c>
      <c r="E6" s="299">
        <v>132612.55000000002</v>
      </c>
      <c r="F6" s="299">
        <f>D6+E6</f>
        <v>1026014.8800000001</v>
      </c>
      <c r="G6" s="300">
        <v>107.5</v>
      </c>
      <c r="H6" s="301">
        <f>SUM(F6/G6)</f>
        <v>9544.3244651162804</v>
      </c>
      <c r="I6" s="302">
        <f>F6/$F$177</f>
        <v>5.8707254457074202E-4</v>
      </c>
      <c r="J6" s="303">
        <f>Calculations!AS149</f>
        <v>863813.44285644486</v>
      </c>
      <c r="K6" s="5">
        <f>E6*1.091947</f>
        <v>144805.87613485003</v>
      </c>
      <c r="L6" s="5">
        <f>J6+K6</f>
        <v>1008619.3189912948</v>
      </c>
      <c r="M6" s="119">
        <v>107.5</v>
      </c>
      <c r="N6" s="55">
        <f>SUM(L6/M6)</f>
        <v>9382.5052929422782</v>
      </c>
      <c r="O6" s="33">
        <f>L6/$L$177</f>
        <v>5.2544476966619527E-4</v>
      </c>
      <c r="P6" s="180">
        <f>SUM(H6*'Front page'!$H$10)+H6</f>
        <v>10021.540688372095</v>
      </c>
      <c r="Q6" s="180">
        <f>MIN(N6,P6)*M6</f>
        <v>1008619.3189912949</v>
      </c>
      <c r="R6" s="187"/>
      <c r="S6" s="5">
        <f>L6-F6</f>
        <v>-17395.561008705292</v>
      </c>
      <c r="T6" s="5">
        <f>IF(S6&lt;0,S6,"")</f>
        <v>-17395.561008705292</v>
      </c>
      <c r="U6" s="5">
        <f>SUM(Q6-F6)</f>
        <v>-17395.561008705175</v>
      </c>
      <c r="V6" s="5">
        <f>SUM(Q6-L6)</f>
        <v>1.1641532182693481E-10</v>
      </c>
      <c r="W6" s="52">
        <f>SUM(S6/F6)</f>
        <v>-1.6954491935541216E-2</v>
      </c>
      <c r="X6" s="6">
        <f>SUM(F6*$X$1)+F6</f>
        <v>1077315.6240000001</v>
      </c>
      <c r="Y6" s="5">
        <f>MIN(L6,Q6)</f>
        <v>1008619.3189912948</v>
      </c>
      <c r="Z6" s="54">
        <f>SUM(Y6-F6)</f>
        <v>-17395.561008705292</v>
      </c>
      <c r="AA6" s="5">
        <f>SUM(Y6-L6)</f>
        <v>0</v>
      </c>
      <c r="AB6" s="55">
        <f>SUM(F6*'Front page'!$H$11)+F6</f>
        <v>1056795.3264000001</v>
      </c>
      <c r="AC6" s="55">
        <f>MAX(AB6,L6)</f>
        <v>1056795.3264000001</v>
      </c>
      <c r="AD6" s="55">
        <f>MAX(Q6,AB6)</f>
        <v>1056795.3264000001</v>
      </c>
      <c r="AE6" s="55">
        <f>SUM(AC6-F6)</f>
        <v>30780.446400000015</v>
      </c>
      <c r="AF6" s="53">
        <f>SUM(AE6/F6)</f>
        <v>3.0000000000000013E-2</v>
      </c>
      <c r="AG6" s="313">
        <f>SUM(AD6-F6)</f>
        <v>30780.446400000015</v>
      </c>
      <c r="AH6" s="53">
        <f>SUM(AG6/F6)</f>
        <v>3.0000000000000013E-2</v>
      </c>
    </row>
    <row r="7" spans="1:34">
      <c r="A7" t="str">
        <f>RIGHT(C7,3)</f>
        <v>364</v>
      </c>
      <c r="B7">
        <f>A7*1</f>
        <v>364</v>
      </c>
      <c r="C7" s="14" t="s">
        <v>99</v>
      </c>
      <c r="D7" s="299">
        <v>198239.08999999997</v>
      </c>
      <c r="E7" s="299">
        <v>32479</v>
      </c>
      <c r="F7" s="299">
        <f>D7+E7</f>
        <v>230718.08999999997</v>
      </c>
      <c r="G7" s="300">
        <v>9.5</v>
      </c>
      <c r="H7" s="301">
        <f>SUM(F7/G7)</f>
        <v>24286.114736842101</v>
      </c>
      <c r="I7" s="302">
        <f>F7/$F$177</f>
        <v>1.3201392963696728E-4</v>
      </c>
      <c r="J7" s="303">
        <f>Calculations!AS91</f>
        <v>182246.76448286069</v>
      </c>
      <c r="K7" s="5">
        <f>E7*1.091947</f>
        <v>35465.346613000002</v>
      </c>
      <c r="L7" s="5">
        <f>J7+K7</f>
        <v>217712.11109586069</v>
      </c>
      <c r="M7" s="119">
        <v>9.5</v>
      </c>
      <c r="N7" s="55">
        <f>SUM(L7/M7)</f>
        <v>22917.064325880074</v>
      </c>
      <c r="O7" s="33">
        <f>L7/$L$177</f>
        <v>1.134181032569464E-4</v>
      </c>
      <c r="P7" s="180">
        <f>SUM(H7*'Front page'!$H$10)+H7</f>
        <v>25500.420473684208</v>
      </c>
      <c r="Q7" s="180">
        <f>MIN(N7,P7)*M7</f>
        <v>217712.11109586069</v>
      </c>
      <c r="R7" s="187"/>
      <c r="S7" s="5">
        <f>L7-F7</f>
        <v>-13005.97890413928</v>
      </c>
      <c r="T7" s="5">
        <f>IF(S7&lt;0,S7,"")</f>
        <v>-13005.97890413928</v>
      </c>
      <c r="U7" s="5">
        <f>SUM(Q7-F7)</f>
        <v>-13005.97890413928</v>
      </c>
      <c r="V7" s="5">
        <f>SUM(Q7-L7)</f>
        <v>0</v>
      </c>
      <c r="W7" s="52">
        <f>SUM(S7/F7)</f>
        <v>-5.6371734458010123E-2</v>
      </c>
      <c r="X7" s="6">
        <f>SUM(F7*$X$1)+F7</f>
        <v>242253.99449999997</v>
      </c>
      <c r="Y7" s="5">
        <f>MIN(L7,Q7)</f>
        <v>217712.11109586069</v>
      </c>
      <c r="Z7" s="54">
        <f>SUM(Y7-F7)</f>
        <v>-13005.97890413928</v>
      </c>
      <c r="AA7" s="5">
        <f>SUM(Y7-L7)</f>
        <v>0</v>
      </c>
      <c r="AB7" s="55">
        <f>SUM(F7*'Front page'!$H$11)+F7</f>
        <v>237639.63269999996</v>
      </c>
      <c r="AC7" s="55">
        <f>MAX(AB7,L7)</f>
        <v>237639.63269999996</v>
      </c>
      <c r="AD7" s="55">
        <f>MAX(Q7,AB7)</f>
        <v>237639.63269999996</v>
      </c>
      <c r="AE7" s="55">
        <f>SUM(AC7-F7)</f>
        <v>6921.5426999999909</v>
      </c>
      <c r="AF7" s="53">
        <f>SUM(AE7/F7)</f>
        <v>2.9999999999999964E-2</v>
      </c>
      <c r="AG7" s="313">
        <f>SUM(AD7-F7)</f>
        <v>6921.5426999999909</v>
      </c>
      <c r="AH7" s="53">
        <f>SUM(AG7/F7)</f>
        <v>2.9999999999999964E-2</v>
      </c>
    </row>
    <row r="8" spans="1:34">
      <c r="A8" t="str">
        <f>RIGHT(C8,3)</f>
        <v>392</v>
      </c>
      <c r="B8">
        <f>A8*1</f>
        <v>392</v>
      </c>
      <c r="C8" s="14" t="s">
        <v>109</v>
      </c>
      <c r="D8" s="299">
        <v>1410154.0899999999</v>
      </c>
      <c r="E8" s="299">
        <v>139263.56</v>
      </c>
      <c r="F8" s="299">
        <f>D8+E8</f>
        <v>1549417.65</v>
      </c>
      <c r="G8" s="300">
        <v>154</v>
      </c>
      <c r="H8" s="301">
        <f>SUM(F8/G8)</f>
        <v>10061.153571428571</v>
      </c>
      <c r="I8" s="302">
        <f>F8/$F$177</f>
        <v>8.8655689124929576E-4</v>
      </c>
      <c r="J8" s="303">
        <f>Calculations!AS101</f>
        <v>1387051.2270992098</v>
      </c>
      <c r="K8" s="5">
        <f>E8*1.091947</f>
        <v>152068.42655132001</v>
      </c>
      <c r="L8" s="5">
        <f>J8+K8</f>
        <v>1539119.6536505297</v>
      </c>
      <c r="M8" s="119">
        <v>154</v>
      </c>
      <c r="N8" s="55">
        <f>SUM(L8/M8)</f>
        <v>9994.2834652631791</v>
      </c>
      <c r="O8" s="33">
        <f>L8/$L$177</f>
        <v>8.018113044968323E-4</v>
      </c>
      <c r="P8" s="180">
        <f>SUM(H8*'Front page'!$H$10)+H8</f>
        <v>10564.21125</v>
      </c>
      <c r="Q8" s="180">
        <f>MIN(N8,P8)*M8</f>
        <v>1539119.6536505297</v>
      </c>
      <c r="R8" s="187"/>
      <c r="S8" s="5">
        <f>L8-F8</f>
        <v>-10297.996349470224</v>
      </c>
      <c r="T8" s="5">
        <f>IF(S8&lt;0,S8,"")</f>
        <v>-10297.996349470224</v>
      </c>
      <c r="U8" s="5">
        <f>SUM(Q8-F8)</f>
        <v>-10297.996349470224</v>
      </c>
      <c r="V8" s="5">
        <f>SUM(Q8-L8)</f>
        <v>0</v>
      </c>
      <c r="W8" s="52">
        <f>SUM(S8/F8)</f>
        <v>-6.6463657164807857E-3</v>
      </c>
      <c r="X8" s="6">
        <f>SUM(F8*$X$1)+F8</f>
        <v>1626888.5325</v>
      </c>
      <c r="Y8" s="5">
        <f>MIN(L8,Q8)</f>
        <v>1539119.6536505297</v>
      </c>
      <c r="Z8" s="54">
        <f>SUM(Y8-F8)</f>
        <v>-10297.996349470224</v>
      </c>
      <c r="AA8" s="5">
        <f>SUM(Y8-L8)</f>
        <v>0</v>
      </c>
      <c r="AB8" s="55">
        <f>SUM(F8*'Front page'!$H$11)+F8</f>
        <v>1595900.1794999999</v>
      </c>
      <c r="AC8" s="55">
        <f>MAX(AB8,L8)</f>
        <v>1595900.1794999999</v>
      </c>
      <c r="AD8" s="55">
        <f>MAX(Q8,AB8)</f>
        <v>1595900.1794999999</v>
      </c>
      <c r="AE8" s="55">
        <f>SUM(AC8-F8)</f>
        <v>46482.529499999946</v>
      </c>
      <c r="AF8" s="53">
        <f>SUM(AE8/F8)</f>
        <v>2.9999999999999968E-2</v>
      </c>
      <c r="AG8" s="313">
        <f>SUM(AD8-F8)</f>
        <v>46482.529499999946</v>
      </c>
      <c r="AH8" s="53">
        <f>SUM(AG8/F8)</f>
        <v>2.9999999999999968E-2</v>
      </c>
    </row>
    <row r="9" spans="1:34">
      <c r="A9" t="str">
        <f>RIGHT(C9,3)</f>
        <v>092</v>
      </c>
      <c r="B9">
        <f>A9*1</f>
        <v>92</v>
      </c>
      <c r="C9" s="14" t="s">
        <v>33</v>
      </c>
      <c r="D9" s="299">
        <v>424340.84</v>
      </c>
      <c r="E9" s="299">
        <v>156082.26</v>
      </c>
      <c r="F9" s="299">
        <f>D9+E9</f>
        <v>580423.10000000009</v>
      </c>
      <c r="G9" s="300">
        <v>42</v>
      </c>
      <c r="H9" s="301">
        <f>SUM(F9/G9)</f>
        <v>13819.597619047621</v>
      </c>
      <c r="I9" s="302">
        <f>F9/$F$177</f>
        <v>3.321106476005867E-4</v>
      </c>
      <c r="J9" s="303">
        <f>Calculations!AS25</f>
        <v>407114.98904858984</v>
      </c>
      <c r="K9" s="5">
        <f>E9*1.091947</f>
        <v>170433.55556022</v>
      </c>
      <c r="L9" s="5">
        <f>J9+K9</f>
        <v>577548.54460880987</v>
      </c>
      <c r="M9" s="119">
        <v>42</v>
      </c>
      <c r="N9" s="55">
        <f>SUM(L9/M9)</f>
        <v>13751.155824019283</v>
      </c>
      <c r="O9" s="33">
        <f>L9/$L$177</f>
        <v>3.0087651136458311E-4</v>
      </c>
      <c r="P9" s="180">
        <f>SUM(H9*'Front page'!$H$10)+H9</f>
        <v>14510.577500000003</v>
      </c>
      <c r="Q9" s="180">
        <f>MIN(N9,P9)*M9</f>
        <v>577548.54460880987</v>
      </c>
      <c r="R9" s="187"/>
      <c r="S9" s="5">
        <f>L9-F9</f>
        <v>-2874.5553911902243</v>
      </c>
      <c r="T9" s="5">
        <f>IF(S9&lt;0,S9,"")</f>
        <v>-2874.5553911902243</v>
      </c>
      <c r="U9" s="5">
        <f>SUM(Q9-F9)</f>
        <v>-2874.5553911902243</v>
      </c>
      <c r="V9" s="5">
        <f>SUM(Q9-L9)</f>
        <v>0</v>
      </c>
      <c r="W9" s="52">
        <f>SUM(S9/F9)</f>
        <v>-4.9525172088950697E-3</v>
      </c>
      <c r="X9" s="6">
        <f>SUM(F9*$X$1)+F9</f>
        <v>609444.25500000012</v>
      </c>
      <c r="Y9" s="5">
        <f>MIN(L9,Q9)</f>
        <v>577548.54460880987</v>
      </c>
      <c r="Z9" s="54">
        <f>SUM(Y9-F9)</f>
        <v>-2874.5553911902243</v>
      </c>
      <c r="AA9" s="5">
        <f>SUM(Y9-L9)</f>
        <v>0</v>
      </c>
      <c r="AB9" s="55">
        <f>SUM(F9*'Front page'!$H$11)+F9</f>
        <v>597835.79300000006</v>
      </c>
      <c r="AC9" s="55">
        <f>MAX(AB9,L9)</f>
        <v>597835.79300000006</v>
      </c>
      <c r="AD9" s="55">
        <f>MAX(Q9,AB9)</f>
        <v>597835.79300000006</v>
      </c>
      <c r="AE9" s="55">
        <f>SUM(AC9-F9)</f>
        <v>17412.69299999997</v>
      </c>
      <c r="AF9" s="53">
        <f>SUM(AE9/F9)</f>
        <v>2.9999999999999943E-2</v>
      </c>
      <c r="AG9" s="313">
        <f>SUM(AD9-F9)</f>
        <v>17412.69299999997</v>
      </c>
      <c r="AH9" s="53">
        <f>SUM(AG9/F9)</f>
        <v>2.9999999999999943E-2</v>
      </c>
    </row>
    <row r="10" spans="1:34">
      <c r="A10" t="str">
        <f>RIGHT(C10,3)</f>
        <v>433</v>
      </c>
      <c r="B10">
        <f>A10*1</f>
        <v>433</v>
      </c>
      <c r="C10" s="14" t="s">
        <v>125</v>
      </c>
      <c r="D10" s="299">
        <v>1459804.39</v>
      </c>
      <c r="E10" s="299">
        <v>122391.8</v>
      </c>
      <c r="F10" s="299">
        <f>D10+E10</f>
        <v>1582196.19</v>
      </c>
      <c r="G10" s="300">
        <v>105</v>
      </c>
      <c r="H10" s="301">
        <f>SUM(F10/G10)</f>
        <v>15068.535142857143</v>
      </c>
      <c r="I10" s="302">
        <f>F10/$F$177</f>
        <v>9.0531235109712351E-4</v>
      </c>
      <c r="J10" s="303">
        <f>Calculations!AS117</f>
        <v>1446436.7050156686</v>
      </c>
      <c r="K10" s="5">
        <f>E10*1.091947</f>
        <v>133645.35883459999</v>
      </c>
      <c r="L10" s="5">
        <f>J10+K10</f>
        <v>1580082.0638502687</v>
      </c>
      <c r="M10" s="119">
        <v>105</v>
      </c>
      <c r="N10" s="55">
        <f>SUM(L10/M10)</f>
        <v>15048.400608097798</v>
      </c>
      <c r="O10" s="33">
        <f>L10/$L$177</f>
        <v>8.2315085628521117E-4</v>
      </c>
      <c r="P10" s="180">
        <f>SUM(H10*'Front page'!$H$10)+H10</f>
        <v>15821.9619</v>
      </c>
      <c r="Q10" s="180">
        <f>MIN(N10,P10)*M10</f>
        <v>1580082.0638502687</v>
      </c>
      <c r="R10" s="187"/>
      <c r="S10" s="5">
        <f>L10-F10</f>
        <v>-2114.1261497312225</v>
      </c>
      <c r="T10" s="5">
        <f>IF(S10&lt;0,S10,"")</f>
        <v>-2114.1261497312225</v>
      </c>
      <c r="U10" s="5">
        <f>SUM(Q10-F10)</f>
        <v>-2114.1261497312225</v>
      </c>
      <c r="V10" s="5">
        <f>SUM(Q10-L10)</f>
        <v>0</v>
      </c>
      <c r="W10" s="52">
        <f>SUM(S10/F10)</f>
        <v>-1.3361972194682269E-3</v>
      </c>
      <c r="X10" s="6">
        <f>SUM(F10*$X$1)+F10</f>
        <v>1661305.9994999999</v>
      </c>
      <c r="Y10" s="5">
        <f>MIN(L10,Q10)</f>
        <v>1580082.0638502687</v>
      </c>
      <c r="Z10" s="54">
        <f>SUM(Y10-F10)</f>
        <v>-2114.1261497312225</v>
      </c>
      <c r="AA10" s="5">
        <f>SUM(Y10-L10)</f>
        <v>0</v>
      </c>
      <c r="AB10" s="55">
        <f>SUM(F10*'Front page'!$H$11)+F10</f>
        <v>1629662.0756999999</v>
      </c>
      <c r="AC10" s="55">
        <f>MAX(AB10,L10)</f>
        <v>1629662.0756999999</v>
      </c>
      <c r="AD10" s="55">
        <f>MAX(Q10,AB10)</f>
        <v>1629662.0756999999</v>
      </c>
      <c r="AE10" s="55">
        <f>SUM(AC10-F10)</f>
        <v>47465.885699999984</v>
      </c>
      <c r="AF10" s="53">
        <f>SUM(AE10/F10)</f>
        <v>2.9999999999999992E-2</v>
      </c>
      <c r="AG10" s="313">
        <f>SUM(AD10-F10)</f>
        <v>47465.885699999984</v>
      </c>
      <c r="AH10" s="53">
        <f>SUM(AG10/F10)</f>
        <v>2.9999999999999992E-2</v>
      </c>
    </row>
    <row r="11" spans="1:34">
      <c r="A11" t="str">
        <f>RIGHT(C11,3)</f>
        <v>498</v>
      </c>
      <c r="B11">
        <f>A11*1</f>
        <v>498</v>
      </c>
      <c r="C11" s="194" t="s">
        <v>846</v>
      </c>
      <c r="D11" s="299"/>
      <c r="E11" s="299"/>
      <c r="F11" s="299"/>
      <c r="G11" s="300"/>
      <c r="H11" s="301"/>
      <c r="I11" s="302"/>
      <c r="J11" s="303">
        <f>Calculations!AS161</f>
        <v>1521161.3831452844</v>
      </c>
      <c r="K11" s="5">
        <f>E11*1.091947</f>
        <v>0</v>
      </c>
      <c r="L11" s="5">
        <f>J11+K11</f>
        <v>1521161.3831452844</v>
      </c>
      <c r="M11" s="119">
        <v>107</v>
      </c>
      <c r="N11" s="55">
        <f>SUM(L11/M11)</f>
        <v>14216.461524722285</v>
      </c>
      <c r="O11" s="33">
        <f>L11/$L$177</f>
        <v>7.9245586272454042E-4</v>
      </c>
      <c r="P11" s="180">
        <f>SUM(H11*'Front page'!$H$10)+H11</f>
        <v>0</v>
      </c>
      <c r="Q11" s="180">
        <f>MIN(N11,P11)*M11</f>
        <v>0</v>
      </c>
      <c r="R11" s="187"/>
      <c r="S11" s="5">
        <f>L11-F11</f>
        <v>1521161.3831452844</v>
      </c>
      <c r="T11" s="5" t="str">
        <f>IF(S11&lt;0,S11,"")</f>
        <v/>
      </c>
      <c r="U11" s="5">
        <f>SUM(Q11-F11)</f>
        <v>0</v>
      </c>
      <c r="V11" s="5">
        <f>SUM(Q11-L11)</f>
        <v>-1521161.3831452844</v>
      </c>
      <c r="W11" s="52" t="e">
        <f>SUM(S11/F11)</f>
        <v>#DIV/0!</v>
      </c>
      <c r="X11" s="6">
        <f>SUM(F11*$X$1)+F11</f>
        <v>0</v>
      </c>
      <c r="Y11" s="5">
        <f>MIN(L11,Q11)</f>
        <v>0</v>
      </c>
      <c r="Z11" s="54">
        <f>SUM(Y11-F11)</f>
        <v>0</v>
      </c>
      <c r="AA11" s="5">
        <f>SUM(Y11-L11)</f>
        <v>-1521161.3831452844</v>
      </c>
      <c r="AB11" s="55">
        <f>SUM(F11*'Front page'!$H$11)+F11</f>
        <v>0</v>
      </c>
      <c r="AC11" s="55">
        <f>MAX(AB11,L11)</f>
        <v>1521161.3831452844</v>
      </c>
      <c r="AD11" s="55">
        <f>MAX(Q11,AB11)</f>
        <v>0</v>
      </c>
      <c r="AE11" s="55">
        <f>SUM(AC11-F11)</f>
        <v>1521161.3831452844</v>
      </c>
      <c r="AF11" s="53" t="e">
        <f>SUM(AE11/F11)</f>
        <v>#DIV/0!</v>
      </c>
      <c r="AG11" s="313">
        <f>SUM(AD11-F11)</f>
        <v>0</v>
      </c>
      <c r="AH11" s="53" t="e">
        <f>SUM(AG11/F11)</f>
        <v>#DIV/0!</v>
      </c>
    </row>
    <row r="12" spans="1:34">
      <c r="A12" t="str">
        <f>RIGHT(C12,3)</f>
        <v>499</v>
      </c>
      <c r="B12">
        <f>A12*1</f>
        <v>499</v>
      </c>
      <c r="C12" s="194" t="s">
        <v>847</v>
      </c>
      <c r="D12" s="299"/>
      <c r="E12" s="299"/>
      <c r="F12" s="299"/>
      <c r="G12" s="300"/>
      <c r="H12" s="301"/>
      <c r="I12" s="302"/>
      <c r="J12" s="303">
        <f>Calculations!AS162</f>
        <v>1339129.2614394708</v>
      </c>
      <c r="K12" s="5">
        <f>E12*1.091947</f>
        <v>0</v>
      </c>
      <c r="L12" s="5">
        <f>J12+K12</f>
        <v>1339129.2614394708</v>
      </c>
      <c r="M12" s="119">
        <v>108</v>
      </c>
      <c r="N12" s="55">
        <f>SUM(L12/M12)</f>
        <v>12399.345013328433</v>
      </c>
      <c r="O12" s="33">
        <f>L12/$L$177</f>
        <v>6.9762541038181111E-4</v>
      </c>
      <c r="P12" s="180">
        <f>SUM(H12*'Front page'!$H$10)+H12</f>
        <v>0</v>
      </c>
      <c r="Q12" s="180">
        <f>MIN(N12,P12)*M12</f>
        <v>0</v>
      </c>
      <c r="R12" s="187"/>
      <c r="S12" s="5">
        <f>L12-F12</f>
        <v>1339129.2614394708</v>
      </c>
      <c r="T12" s="5" t="str">
        <f>IF(S12&lt;0,S12,"")</f>
        <v/>
      </c>
      <c r="U12" s="5">
        <f>SUM(Q12-F12)</f>
        <v>0</v>
      </c>
      <c r="V12" s="5">
        <f>SUM(Q12-L12)</f>
        <v>-1339129.2614394708</v>
      </c>
      <c r="W12" s="52" t="e">
        <f>SUM(S12/F12)</f>
        <v>#DIV/0!</v>
      </c>
      <c r="X12" s="6">
        <f>SUM(F12*$X$1)+F12</f>
        <v>0</v>
      </c>
      <c r="Y12" s="5">
        <f>MIN(L12,Q12)</f>
        <v>0</v>
      </c>
      <c r="Z12" s="54">
        <f>SUM(Y12-F12)</f>
        <v>0</v>
      </c>
      <c r="AA12" s="5">
        <f>SUM(Y12-L12)</f>
        <v>-1339129.2614394708</v>
      </c>
      <c r="AB12" s="55">
        <f>SUM(F12*'Front page'!$H$11)+F12</f>
        <v>0</v>
      </c>
      <c r="AC12" s="55">
        <f>MAX(AB12,L12)</f>
        <v>1339129.2614394708</v>
      </c>
      <c r="AD12" s="55">
        <f>MAX(Q12,AB12)</f>
        <v>0</v>
      </c>
      <c r="AE12" s="55">
        <f>SUM(AC12-F12)</f>
        <v>1339129.2614394708</v>
      </c>
      <c r="AF12" s="53" t="e">
        <f>SUM(AE12/F12)</f>
        <v>#DIV/0!</v>
      </c>
      <c r="AG12" s="313">
        <f>SUM(AD12-F12)</f>
        <v>0</v>
      </c>
      <c r="AH12" s="53" t="e">
        <f>SUM(AG12/F12)</f>
        <v>#DIV/0!</v>
      </c>
    </row>
    <row r="13" spans="1:34">
      <c r="A13" t="str">
        <f>RIGHT(C13,3)</f>
        <v>511</v>
      </c>
      <c r="B13">
        <f>A13*1</f>
        <v>511</v>
      </c>
      <c r="C13" s="194" t="s">
        <v>848</v>
      </c>
      <c r="D13" s="299"/>
      <c r="E13" s="299"/>
      <c r="F13" s="299"/>
      <c r="G13" s="300"/>
      <c r="H13" s="301"/>
      <c r="I13" s="302"/>
      <c r="J13" s="303">
        <f>Calculations!AS163</f>
        <v>1552202.8697889866</v>
      </c>
      <c r="K13" s="5">
        <f>E13*1.091947</f>
        <v>0</v>
      </c>
      <c r="L13" s="5">
        <f>J13+K13</f>
        <v>1552202.8697889866</v>
      </c>
      <c r="M13" s="119">
        <v>109</v>
      </c>
      <c r="N13" s="55">
        <f>SUM(L13/M13)</f>
        <v>14240.393300816391</v>
      </c>
      <c r="O13" s="33">
        <f>L13/$L$177</f>
        <v>8.0862706477518957E-4</v>
      </c>
      <c r="P13" s="180">
        <f>SUM(H13*'Front page'!$H$10)+H13</f>
        <v>0</v>
      </c>
      <c r="Q13" s="180">
        <f>MIN(N13,P13)*M13</f>
        <v>0</v>
      </c>
      <c r="R13" s="187"/>
      <c r="S13" s="5">
        <f>L13-F13</f>
        <v>1552202.8697889866</v>
      </c>
      <c r="T13" s="5" t="str">
        <f>IF(S13&lt;0,S13,"")</f>
        <v/>
      </c>
      <c r="U13" s="5">
        <f>SUM(Q13-F13)</f>
        <v>0</v>
      </c>
      <c r="V13" s="5">
        <f>SUM(Q13-L13)</f>
        <v>-1552202.8697889866</v>
      </c>
      <c r="W13" s="52" t="e">
        <f>SUM(S13/F13)</f>
        <v>#DIV/0!</v>
      </c>
      <c r="X13" s="6">
        <f>SUM(F13*$X$1)+F13</f>
        <v>0</v>
      </c>
      <c r="Y13" s="5">
        <f>MIN(L13,Q13)</f>
        <v>0</v>
      </c>
      <c r="Z13" s="54">
        <f>SUM(Y13-F13)</f>
        <v>0</v>
      </c>
      <c r="AA13" s="5">
        <f>SUM(Y13-L13)</f>
        <v>-1552202.8697889866</v>
      </c>
      <c r="AB13" s="55">
        <f>SUM(F13*'Front page'!$H$11)+F13</f>
        <v>0</v>
      </c>
      <c r="AC13" s="55">
        <f>MAX(AB13,L13)</f>
        <v>1552202.8697889866</v>
      </c>
      <c r="AD13" s="55">
        <f>MAX(Q13,AB13)</f>
        <v>0</v>
      </c>
      <c r="AE13" s="55">
        <f>SUM(AC13-F13)</f>
        <v>1552202.8697889866</v>
      </c>
      <c r="AF13" s="53" t="e">
        <f>SUM(AE13/F13)</f>
        <v>#DIV/0!</v>
      </c>
      <c r="AG13" s="313">
        <f>SUM(AD13-F13)</f>
        <v>0</v>
      </c>
      <c r="AH13" s="53" t="e">
        <f>SUM(AG13/F13)</f>
        <v>#DIV/0!</v>
      </c>
    </row>
    <row r="14" spans="1:34">
      <c r="A14" t="str">
        <f>RIGHT(C14,3)</f>
        <v>513</v>
      </c>
      <c r="B14">
        <f>A14*1</f>
        <v>513</v>
      </c>
      <c r="C14" s="194" t="s">
        <v>849</v>
      </c>
      <c r="D14" s="299"/>
      <c r="E14" s="299"/>
      <c r="F14" s="299"/>
      <c r="G14" s="300"/>
      <c r="H14" s="301"/>
      <c r="I14" s="302"/>
      <c r="J14" s="303">
        <f>Calculations!AS164</f>
        <v>1751381.7536754911</v>
      </c>
      <c r="K14" s="5">
        <f>E14*1.091947</f>
        <v>0</v>
      </c>
      <c r="L14" s="5">
        <f>J14+K14</f>
        <v>1751381.7536754911</v>
      </c>
      <c r="M14" s="119">
        <v>110</v>
      </c>
      <c r="N14" s="55">
        <f>SUM(L14/M14)</f>
        <v>15921.652306140828</v>
      </c>
      <c r="O14" s="33">
        <f>L14/$L$177</f>
        <v>9.1239019997944144E-4</v>
      </c>
      <c r="P14" s="180">
        <f>SUM(H14*'Front page'!$H$10)+H14</f>
        <v>0</v>
      </c>
      <c r="Q14" s="180">
        <f>MIN(N14,P14)*M14</f>
        <v>0</v>
      </c>
      <c r="R14" s="187"/>
      <c r="S14" s="5">
        <f>L14-F14</f>
        <v>1751381.7536754911</v>
      </c>
      <c r="T14" s="5" t="str">
        <f>IF(S14&lt;0,S14,"")</f>
        <v/>
      </c>
      <c r="U14" s="5">
        <f>SUM(Q14-F14)</f>
        <v>0</v>
      </c>
      <c r="V14" s="5">
        <f>SUM(Q14-L14)</f>
        <v>-1751381.7536754911</v>
      </c>
      <c r="W14" s="52" t="e">
        <f>SUM(S14/F14)</f>
        <v>#DIV/0!</v>
      </c>
      <c r="X14" s="6">
        <f>SUM(F14*$X$1)+F14</f>
        <v>0</v>
      </c>
      <c r="Y14" s="5">
        <f>MIN(L14,Q14)</f>
        <v>0</v>
      </c>
      <c r="Z14" s="54">
        <f>SUM(Y14-F14)</f>
        <v>0</v>
      </c>
      <c r="AA14" s="5">
        <f>SUM(Y14-L14)</f>
        <v>-1751381.7536754911</v>
      </c>
      <c r="AB14" s="55">
        <f>SUM(F14*'Front page'!$H$11)+F14</f>
        <v>0</v>
      </c>
      <c r="AC14" s="55">
        <f>MAX(AB14,L14)</f>
        <v>1751381.7536754911</v>
      </c>
      <c r="AD14" s="55">
        <f>MAX(Q14,AB14)</f>
        <v>0</v>
      </c>
      <c r="AE14" s="55">
        <f>SUM(AC14-F14)</f>
        <v>1751381.7536754911</v>
      </c>
      <c r="AF14" s="53" t="e">
        <f>SUM(AE14/F14)</f>
        <v>#DIV/0!</v>
      </c>
      <c r="AG14" s="313">
        <f>SUM(AD14-F14)</f>
        <v>0</v>
      </c>
      <c r="AH14" s="53" t="e">
        <f>SUM(AG14/F14)</f>
        <v>#DIV/0!</v>
      </c>
    </row>
    <row r="15" spans="1:34">
      <c r="A15" t="str">
        <f>RIGHT(C15,3)</f>
        <v>518</v>
      </c>
      <c r="B15">
        <f>A15*1</f>
        <v>518</v>
      </c>
      <c r="C15" s="195" t="s">
        <v>850</v>
      </c>
      <c r="D15" s="299"/>
      <c r="E15" s="299"/>
      <c r="F15" s="299"/>
      <c r="G15" s="300"/>
      <c r="H15" s="301"/>
      <c r="I15" s="302"/>
      <c r="J15" s="303">
        <f>Calculations!AS165</f>
        <v>1835448.6895128307</v>
      </c>
      <c r="K15" s="5">
        <f>E15*1.091947</f>
        <v>0</v>
      </c>
      <c r="L15" s="5">
        <f>J15+K15</f>
        <v>1835448.6895128307</v>
      </c>
      <c r="M15" s="119">
        <v>111</v>
      </c>
      <c r="N15" s="55">
        <f>SUM(L15/M15)</f>
        <v>16535.573779394872</v>
      </c>
      <c r="O15" s="33">
        <f>L15/$L$177</f>
        <v>9.5618524822595923E-4</v>
      </c>
      <c r="P15" s="180">
        <f>SUM(H15*'Front page'!$H$10)+H15</f>
        <v>0</v>
      </c>
      <c r="Q15" s="180">
        <f>MIN(N15,P15)*M15</f>
        <v>0</v>
      </c>
      <c r="R15" s="187"/>
      <c r="S15" s="5">
        <f>L15-F15</f>
        <v>1835448.6895128307</v>
      </c>
      <c r="T15" s="5" t="str">
        <f>IF(S15&lt;0,S15,"")</f>
        <v/>
      </c>
      <c r="U15" s="5">
        <f>SUM(Q15-F15)</f>
        <v>0</v>
      </c>
      <c r="V15" s="5">
        <f>SUM(Q15-L15)</f>
        <v>-1835448.6895128307</v>
      </c>
      <c r="W15" s="52" t="e">
        <f>SUM(S15/F15)</f>
        <v>#DIV/0!</v>
      </c>
      <c r="X15" s="6">
        <f>SUM(F15*$X$1)+F15</f>
        <v>0</v>
      </c>
      <c r="Y15" s="5">
        <f>MIN(L15,Q15)</f>
        <v>0</v>
      </c>
      <c r="Z15" s="54">
        <f>SUM(Y15-F15)</f>
        <v>0</v>
      </c>
      <c r="AA15" s="5">
        <f>SUM(Y15-L15)</f>
        <v>-1835448.6895128307</v>
      </c>
      <c r="AB15" s="55">
        <f>SUM(F15*'Front page'!$H$11)+F15</f>
        <v>0</v>
      </c>
      <c r="AC15" s="55">
        <f>MAX(AB15,L15)</f>
        <v>1835448.6895128307</v>
      </c>
      <c r="AD15" s="55">
        <f>MAX(Q15,AB15)</f>
        <v>0</v>
      </c>
      <c r="AE15" s="55">
        <f>SUM(AC15-F15)</f>
        <v>1835448.6895128307</v>
      </c>
      <c r="AF15" s="53" t="e">
        <f>SUM(AE15/F15)</f>
        <v>#DIV/0!</v>
      </c>
      <c r="AG15" s="313">
        <f>SUM(AD15-F15)</f>
        <v>0</v>
      </c>
      <c r="AH15" s="53" t="e">
        <f>SUM(AG15/F15)</f>
        <v>#DIV/0!</v>
      </c>
    </row>
    <row r="16" spans="1:34">
      <c r="A16" t="str">
        <f>RIGHT(C16,3)</f>
        <v>383</v>
      </c>
      <c r="B16">
        <f>A16*1</f>
        <v>383</v>
      </c>
      <c r="C16" s="14" t="s">
        <v>107</v>
      </c>
      <c r="D16" s="299">
        <v>238026.83</v>
      </c>
      <c r="E16" s="299">
        <v>63323</v>
      </c>
      <c r="F16" s="299">
        <f>D16+E16</f>
        <v>301349.82999999996</v>
      </c>
      <c r="G16" s="300">
        <v>16.5</v>
      </c>
      <c r="H16" s="301">
        <f>SUM(F16/G16)</f>
        <v>18263.626060606057</v>
      </c>
      <c r="I16" s="302">
        <f>F16/$F$177</f>
        <v>1.7242850464708708E-4</v>
      </c>
      <c r="J16" s="303">
        <f>Calculations!AS99</f>
        <v>236437.02829359152</v>
      </c>
      <c r="K16" s="5">
        <f>E16*1.091947</f>
        <v>69145.359880999997</v>
      </c>
      <c r="L16" s="5">
        <f>J16+K16</f>
        <v>305582.38817459153</v>
      </c>
      <c r="M16" s="119">
        <v>16.5</v>
      </c>
      <c r="N16" s="55">
        <f>SUM(L16/M16)</f>
        <v>18520.144737854032</v>
      </c>
      <c r="O16" s="33">
        <f>L16/$L$177</f>
        <v>1.5919451922557308E-4</v>
      </c>
      <c r="P16" s="180">
        <f>SUM(H16*'Front page'!$H$10)+H16</f>
        <v>19176.807363636359</v>
      </c>
      <c r="Q16" s="180">
        <f>MIN(N16,P16)*M16</f>
        <v>305582.38817459153</v>
      </c>
      <c r="R16" s="187"/>
      <c r="S16" s="5">
        <f>L16-F16</f>
        <v>4232.5581745915697</v>
      </c>
      <c r="T16" s="5" t="str">
        <f>IF(S16&lt;0,S16,"")</f>
        <v/>
      </c>
      <c r="U16" s="5">
        <f>SUM(Q16-F16)</f>
        <v>4232.5581745915697</v>
      </c>
      <c r="V16" s="5">
        <f>SUM(Q16-L16)</f>
        <v>0</v>
      </c>
      <c r="W16" s="52">
        <f>SUM(S16/F16)</f>
        <v>1.404533121718227E-2</v>
      </c>
      <c r="X16" s="6">
        <f>SUM(F16*$X$1)+F16</f>
        <v>316417.32149999996</v>
      </c>
      <c r="Y16" s="5">
        <f>MIN(L16,Q16)</f>
        <v>305582.38817459153</v>
      </c>
      <c r="Z16" s="54">
        <f>SUM(Y16-F16)</f>
        <v>4232.5581745915697</v>
      </c>
      <c r="AA16" s="5">
        <f>SUM(Y16-L16)</f>
        <v>0</v>
      </c>
      <c r="AB16" s="55">
        <f>SUM(F16*'Front page'!$H$11)+F16</f>
        <v>310390.32489999995</v>
      </c>
      <c r="AC16" s="55">
        <f>MAX(AB16,L16)</f>
        <v>310390.32489999995</v>
      </c>
      <c r="AD16" s="55">
        <f>MAX(Q16,AB16)</f>
        <v>310390.32489999995</v>
      </c>
      <c r="AE16" s="55">
        <f>SUM(AC16-F16)</f>
        <v>9040.4948999999906</v>
      </c>
      <c r="AF16" s="53">
        <f>SUM(AE16/F16)</f>
        <v>2.9999999999999975E-2</v>
      </c>
      <c r="AG16" s="313">
        <f>SUM(AD16-F16)</f>
        <v>9040.4948999999906</v>
      </c>
      <c r="AH16" s="53">
        <f>SUM(AG16/F16)</f>
        <v>2.9999999999999975E-2</v>
      </c>
    </row>
    <row r="17" spans="1:34">
      <c r="A17" t="str">
        <f>RIGHT(C17,3)</f>
        <v>191</v>
      </c>
      <c r="B17">
        <f>A17*1</f>
        <v>191</v>
      </c>
      <c r="C17" s="14" t="s">
        <v>54</v>
      </c>
      <c r="D17" s="299">
        <v>145029.96000000002</v>
      </c>
      <c r="E17" s="299">
        <v>10925</v>
      </c>
      <c r="F17" s="299">
        <f>D17+E17</f>
        <v>155954.96000000002</v>
      </c>
      <c r="G17" s="300">
        <v>3</v>
      </c>
      <c r="H17" s="301">
        <f>SUM(F17/G17)</f>
        <v>51984.986666666671</v>
      </c>
      <c r="I17" s="302">
        <f>F17/$F$177</f>
        <v>8.9235426298718285E-5</v>
      </c>
      <c r="J17" s="303">
        <f>Calculations!AS46</f>
        <v>159037.20234434359</v>
      </c>
      <c r="K17" s="5">
        <f>E17*1.091947</f>
        <v>11929.520974999999</v>
      </c>
      <c r="L17" s="5">
        <f>J17+K17</f>
        <v>170966.72331934358</v>
      </c>
      <c r="M17" s="119">
        <v>3</v>
      </c>
      <c r="N17" s="55">
        <f>SUM(L17/M17)</f>
        <v>56988.90777311453</v>
      </c>
      <c r="O17" s="33">
        <f>L17/$L$177</f>
        <v>8.9065883295749127E-5</v>
      </c>
      <c r="P17" s="180">
        <f>SUM(H17*'Front page'!$H$10)+H17</f>
        <v>54584.236000000004</v>
      </c>
      <c r="Q17" s="180">
        <f>MIN(N17,P17)*M17</f>
        <v>163752.70800000001</v>
      </c>
      <c r="R17" s="187"/>
      <c r="S17" s="5">
        <f>L17-F17</f>
        <v>15011.763319343561</v>
      </c>
      <c r="T17" s="5" t="str">
        <f>IF(S17&lt;0,S17,"")</f>
        <v/>
      </c>
      <c r="U17" s="5">
        <f>SUM(Q17-F17)</f>
        <v>7797.7479999999923</v>
      </c>
      <c r="V17" s="5">
        <f>SUM(Q17-L17)</f>
        <v>-7214.015319343569</v>
      </c>
      <c r="W17" s="52">
        <f>SUM(S17/F17)</f>
        <v>9.6257043183131594E-2</v>
      </c>
      <c r="X17" s="6">
        <f>SUM(F17*$X$1)+F17</f>
        <v>163752.70800000001</v>
      </c>
      <c r="Y17" s="5">
        <f>MIN(L17,Q17)</f>
        <v>163752.70800000001</v>
      </c>
      <c r="Z17" s="54">
        <f>SUM(Y17-F17)</f>
        <v>7797.7479999999923</v>
      </c>
      <c r="AA17" s="5">
        <f>SUM(Y17-L17)</f>
        <v>-7214.015319343569</v>
      </c>
      <c r="AB17" s="55">
        <f>SUM(F17*'Front page'!$H$11)+F17</f>
        <v>160633.60880000002</v>
      </c>
      <c r="AC17" s="55">
        <f>MAX(AB17,L17)</f>
        <v>170966.72331934358</v>
      </c>
      <c r="AD17" s="55">
        <f>MAX(Q17,AB17)</f>
        <v>163752.70800000001</v>
      </c>
      <c r="AE17" s="55">
        <f>SUM(AC17-F17)</f>
        <v>15011.763319343561</v>
      </c>
      <c r="AF17" s="53">
        <f>SUM(AE17/F17)</f>
        <v>9.6257043183131594E-2</v>
      </c>
      <c r="AG17" s="313">
        <f>SUM(AD17-F17)</f>
        <v>7797.7479999999923</v>
      </c>
      <c r="AH17" s="53">
        <f>SUM(AG17/F17)</f>
        <v>4.9999999999999947E-2</v>
      </c>
    </row>
    <row r="18" spans="1:34">
      <c r="A18" t="str">
        <f>RIGHT(C18,3)</f>
        <v>416</v>
      </c>
      <c r="B18">
        <f>A18*1</f>
        <v>416</v>
      </c>
      <c r="C18" s="14" t="s">
        <v>118</v>
      </c>
      <c r="D18" s="299">
        <v>150094.19</v>
      </c>
      <c r="E18" s="299">
        <v>36901</v>
      </c>
      <c r="F18" s="299">
        <f>D18+E18</f>
        <v>186995.19</v>
      </c>
      <c r="G18" s="300">
        <v>7</v>
      </c>
      <c r="H18" s="301">
        <f>SUM(F18/G18)</f>
        <v>26713.598571428571</v>
      </c>
      <c r="I18" s="302">
        <f>F18/$F$177</f>
        <v>1.069962474772192E-4</v>
      </c>
      <c r="J18" s="303">
        <f>Calculations!AS110</f>
        <v>180577.0936289829</v>
      </c>
      <c r="K18" s="5">
        <f>E18*1.091947</f>
        <v>40293.936246999998</v>
      </c>
      <c r="L18" s="5">
        <f>J18+K18</f>
        <v>220871.0298759829</v>
      </c>
      <c r="M18" s="119">
        <v>7</v>
      </c>
      <c r="N18" s="55">
        <f>SUM(L18/M18)</f>
        <v>31553.004267997556</v>
      </c>
      <c r="O18" s="33">
        <f>L18/$L$177</f>
        <v>1.1506375620009596E-4</v>
      </c>
      <c r="P18" s="180">
        <f>SUM(H18*'Front page'!$H$10)+H18</f>
        <v>28049.2785</v>
      </c>
      <c r="Q18" s="180">
        <f>MIN(N18,P18)*M18</f>
        <v>196344.94949999999</v>
      </c>
      <c r="R18" s="187"/>
      <c r="S18" s="5">
        <f>L18-F18</f>
        <v>33875.8398759829</v>
      </c>
      <c r="T18" s="5" t="str">
        <f>IF(S18&lt;0,S18,"")</f>
        <v/>
      </c>
      <c r="U18" s="5">
        <f>SUM(Q18-F18)</f>
        <v>9349.7594999999856</v>
      </c>
      <c r="V18" s="5">
        <f>SUM(Q18-L18)</f>
        <v>-24526.080375982914</v>
      </c>
      <c r="W18" s="52">
        <f>SUM(S18/F18)</f>
        <v>0.18115888369098104</v>
      </c>
      <c r="X18" s="6">
        <f>SUM(F18*$X$1)+F18</f>
        <v>196344.94949999999</v>
      </c>
      <c r="Y18" s="5">
        <f>MIN(L18,Q18)</f>
        <v>196344.94949999999</v>
      </c>
      <c r="Z18" s="54">
        <f>SUM(Y18-F18)</f>
        <v>9349.7594999999856</v>
      </c>
      <c r="AA18" s="5">
        <f>SUM(Y18-L18)</f>
        <v>-24526.080375982914</v>
      </c>
      <c r="AB18" s="55">
        <f>SUM(F18*'Front page'!$H$11)+F18</f>
        <v>192605.04570000002</v>
      </c>
      <c r="AC18" s="55">
        <f>MAX(AB18,L18)</f>
        <v>220871.0298759829</v>
      </c>
      <c r="AD18" s="55">
        <f>MAX(Q18,AB18)</f>
        <v>196344.94949999999</v>
      </c>
      <c r="AE18" s="55">
        <f>SUM(AC18-F18)</f>
        <v>33875.8398759829</v>
      </c>
      <c r="AF18" s="53">
        <f>SUM(AE18/F18)</f>
        <v>0.18115888369098104</v>
      </c>
      <c r="AG18" s="313">
        <f>SUM(AD18-F18)</f>
        <v>9349.7594999999856</v>
      </c>
      <c r="AH18" s="53">
        <f>SUM(AG18/F18)</f>
        <v>4.999999999999992E-2</v>
      </c>
    </row>
    <row r="19" spans="1:34">
      <c r="A19" t="str">
        <f>RIGHT(C19,3)</f>
        <v>083</v>
      </c>
      <c r="B19">
        <f>A19*1</f>
        <v>83</v>
      </c>
      <c r="C19" s="14" t="s">
        <v>30</v>
      </c>
      <c r="D19" s="299">
        <v>6027798.5800000001</v>
      </c>
      <c r="E19" s="299">
        <v>733861.17</v>
      </c>
      <c r="F19" s="299">
        <f>D19+E19</f>
        <v>6761659.75</v>
      </c>
      <c r="G19" s="300">
        <v>1048</v>
      </c>
      <c r="H19" s="301">
        <f>SUM(F19/G19)</f>
        <v>6451.9654103053435</v>
      </c>
      <c r="I19" s="302">
        <f>F19/$F$177</f>
        <v>3.8689349173513612E-3</v>
      </c>
      <c r="J19" s="303">
        <f>Calculations!AS22</f>
        <v>5970123.073173645</v>
      </c>
      <c r="K19" s="5">
        <f>E19*1.091947</f>
        <v>801337.50299799</v>
      </c>
      <c r="L19" s="5">
        <f>J19+K19</f>
        <v>6771460.5761716347</v>
      </c>
      <c r="M19" s="119">
        <v>1048</v>
      </c>
      <c r="N19" s="55">
        <f>SUM(L19/M19)</f>
        <v>6461.317343675224</v>
      </c>
      <c r="O19" s="33">
        <f>L19/$L$177</f>
        <v>3.5276228362436661E-3</v>
      </c>
      <c r="P19" s="180">
        <f>SUM(H19*'Front page'!$H$10)+H19</f>
        <v>6774.5636808206109</v>
      </c>
      <c r="Q19" s="180">
        <f>MIN(N19,P19)*M19</f>
        <v>6771460.5761716347</v>
      </c>
      <c r="R19" s="187"/>
      <c r="S19" s="5">
        <f>L19-F19</f>
        <v>9800.8261716347188</v>
      </c>
      <c r="T19" s="5" t="str">
        <f>IF(S19&lt;0,S19,"")</f>
        <v/>
      </c>
      <c r="U19" s="5">
        <f>SUM(Q19-F19)</f>
        <v>9800.8261716347188</v>
      </c>
      <c r="V19" s="5">
        <f>SUM(Q19-L19)</f>
        <v>0</v>
      </c>
      <c r="W19" s="52">
        <f>SUM(S19/F19)</f>
        <v>1.4494704752978319E-3</v>
      </c>
      <c r="X19" s="6">
        <f>SUM(F19*$X$1)+F19</f>
        <v>7099742.7374999998</v>
      </c>
      <c r="Y19" s="5">
        <f>MIN(L19,Q19)</f>
        <v>6771460.5761716347</v>
      </c>
      <c r="Z19" s="54">
        <f>SUM(Y19-F19)</f>
        <v>9800.8261716347188</v>
      </c>
      <c r="AA19" s="5">
        <f>SUM(Y19-L19)</f>
        <v>0</v>
      </c>
      <c r="AB19" s="55">
        <f>SUM(F19*'Front page'!$H$11)+F19</f>
        <v>6964509.5425000004</v>
      </c>
      <c r="AC19" s="55">
        <f>MAX(AB19,L19)</f>
        <v>6964509.5425000004</v>
      </c>
      <c r="AD19" s="55">
        <f>MAX(Q19,AB19)</f>
        <v>6964509.5425000004</v>
      </c>
      <c r="AE19" s="55">
        <f>SUM(AC19-F19)</f>
        <v>202849.79250000045</v>
      </c>
      <c r="AF19" s="53">
        <f>SUM(AE19/F19)</f>
        <v>3.0000000000000065E-2</v>
      </c>
      <c r="AG19" s="313">
        <f>SUM(AD19-F19)</f>
        <v>202849.79250000045</v>
      </c>
      <c r="AH19" s="53">
        <f>SUM(AG19/F19)</f>
        <v>3.0000000000000065E-2</v>
      </c>
    </row>
    <row r="20" spans="1:34">
      <c r="A20" t="str">
        <f>RIGHT(C20,3)</f>
        <v>373</v>
      </c>
      <c r="B20">
        <f>A20*1</f>
        <v>373</v>
      </c>
      <c r="C20" s="14" t="s">
        <v>104</v>
      </c>
      <c r="D20" s="299">
        <v>9575970.1300000008</v>
      </c>
      <c r="E20" s="299">
        <v>1011841.79</v>
      </c>
      <c r="F20" s="299">
        <f>D20+E20</f>
        <v>10587811.920000002</v>
      </c>
      <c r="G20" s="300">
        <v>1726.5</v>
      </c>
      <c r="H20" s="301">
        <f>SUM(F20/G20)</f>
        <v>6132.5293483927035</v>
      </c>
      <c r="I20" s="302">
        <f>F20/$F$177</f>
        <v>6.0582100771392651E-3</v>
      </c>
      <c r="J20" s="303">
        <f>Calculations!AS96</f>
        <v>9492951.0305836461</v>
      </c>
      <c r="K20" s="5">
        <f>E20*1.091947</f>
        <v>1104877.60706513</v>
      </c>
      <c r="L20" s="5">
        <f>J20+K20</f>
        <v>10597828.637648776</v>
      </c>
      <c r="M20" s="119">
        <v>1726.5</v>
      </c>
      <c r="N20" s="55">
        <f>SUM(L20/M20)</f>
        <v>6138.3310962344494</v>
      </c>
      <c r="O20" s="33">
        <f>L20/$L$177</f>
        <v>5.5209864838204926E-3</v>
      </c>
      <c r="P20" s="180">
        <f>SUM(H20*'Front page'!$H$10)+H20</f>
        <v>6439.1558158123389</v>
      </c>
      <c r="Q20" s="180">
        <f>MIN(N20,P20)*M20</f>
        <v>10597828.637648776</v>
      </c>
      <c r="R20" s="187"/>
      <c r="S20" s="5">
        <f>L20-F20</f>
        <v>10016.717648774385</v>
      </c>
      <c r="T20" s="5" t="str">
        <f>IF(S20&lt;0,S20,"")</f>
        <v/>
      </c>
      <c r="U20" s="5">
        <f>SUM(Q20-F20)</f>
        <v>10016.717648774385</v>
      </c>
      <c r="V20" s="5">
        <f>SUM(Q20-L20)</f>
        <v>0</v>
      </c>
      <c r="W20" s="52">
        <f>SUM(S20/F20)</f>
        <v>9.4606116206627738E-4</v>
      </c>
      <c r="X20" s="6">
        <f>SUM(F20*$X$1)+F20</f>
        <v>11117202.516000003</v>
      </c>
      <c r="Y20" s="5">
        <f>MIN(L20,Q20)</f>
        <v>10597828.637648776</v>
      </c>
      <c r="Z20" s="54">
        <f>SUM(Y20-F20)</f>
        <v>10016.717648774385</v>
      </c>
      <c r="AA20" s="5">
        <f>SUM(Y20-L20)</f>
        <v>0</v>
      </c>
      <c r="AB20" s="55">
        <f>SUM(F20*'Front page'!$H$11)+F20</f>
        <v>10905446.277600002</v>
      </c>
      <c r="AC20" s="55">
        <f>MAX(AB20,L20)</f>
        <v>10905446.277600002</v>
      </c>
      <c r="AD20" s="55">
        <f>MAX(Q20,AB20)</f>
        <v>10905446.277600002</v>
      </c>
      <c r="AE20" s="55">
        <f>SUM(AC20-F20)</f>
        <v>317634.35759999976</v>
      </c>
      <c r="AF20" s="53">
        <f>SUM(AE20/F20)</f>
        <v>2.9999999999999971E-2</v>
      </c>
      <c r="AG20" s="313">
        <f>SUM(AD20-F20)</f>
        <v>317634.35759999976</v>
      </c>
      <c r="AH20" s="53">
        <f>SUM(AG20/F20)</f>
        <v>2.9999999999999971E-2</v>
      </c>
    </row>
    <row r="21" spans="1:34">
      <c r="A21" t="str">
        <f>RIGHT(C21,3)</f>
        <v>394</v>
      </c>
      <c r="B21">
        <f>A21*1</f>
        <v>394</v>
      </c>
      <c r="C21" s="14" t="s">
        <v>111</v>
      </c>
      <c r="D21" s="299">
        <v>188296.4</v>
      </c>
      <c r="E21" s="299">
        <v>64354</v>
      </c>
      <c r="F21" s="299">
        <f>D21+E21</f>
        <v>252650.4</v>
      </c>
      <c r="G21" s="300">
        <v>15.5</v>
      </c>
      <c r="H21" s="301">
        <f>SUM(F21/G21)</f>
        <v>16300.025806451613</v>
      </c>
      <c r="I21" s="302">
        <f>F21/$F$177</f>
        <v>1.4456331589929357E-4</v>
      </c>
      <c r="J21" s="303">
        <f>Calculations!AS103</f>
        <v>243875.49595628818</v>
      </c>
      <c r="K21" s="5">
        <f>E21*1.091947</f>
        <v>70271.157238</v>
      </c>
      <c r="L21" s="5">
        <f>J21+K21</f>
        <v>314146.6531942882</v>
      </c>
      <c r="M21" s="119">
        <v>15.5</v>
      </c>
      <c r="N21" s="55">
        <f>SUM(L21/M21)</f>
        <v>20267.526012534723</v>
      </c>
      <c r="O21" s="33">
        <f>L21/$L$177</f>
        <v>1.6365611159833786E-4</v>
      </c>
      <c r="P21" s="180">
        <f>SUM(H21*'Front page'!$H$10)+H21</f>
        <v>17115.027096774193</v>
      </c>
      <c r="Q21" s="180">
        <f>MIN(N21,P21)*M21</f>
        <v>265282.92</v>
      </c>
      <c r="R21" s="187"/>
      <c r="S21" s="5">
        <f>L21-F21</f>
        <v>61496.253194288205</v>
      </c>
      <c r="T21" s="5" t="str">
        <f>IF(S21&lt;0,S21,"")</f>
        <v/>
      </c>
      <c r="U21" s="5">
        <f>SUM(Q21-F21)</f>
        <v>12632.51999999999</v>
      </c>
      <c r="V21" s="5">
        <f>SUM(Q21-L21)</f>
        <v>-48863.733194288216</v>
      </c>
      <c r="W21" s="52">
        <f>SUM(S21/F21)</f>
        <v>0.24340453525618089</v>
      </c>
      <c r="X21" s="6">
        <f>SUM(F21*$X$1)+F21</f>
        <v>265282.92</v>
      </c>
      <c r="Y21" s="5">
        <f>MIN(L21,Q21)</f>
        <v>265282.92</v>
      </c>
      <c r="Z21" s="54">
        <f>SUM(Y21-F21)</f>
        <v>12632.51999999999</v>
      </c>
      <c r="AA21" s="5">
        <f>SUM(Y21-L21)</f>
        <v>-48863.733194288216</v>
      </c>
      <c r="AB21" s="55">
        <f>SUM(F21*'Front page'!$H$11)+F21</f>
        <v>260229.91199999998</v>
      </c>
      <c r="AC21" s="55">
        <f>MAX(AB21,L21)</f>
        <v>314146.6531942882</v>
      </c>
      <c r="AD21" s="55">
        <f>MAX(Q21,AB21)</f>
        <v>265282.92</v>
      </c>
      <c r="AE21" s="55">
        <f>SUM(AC21-F21)</f>
        <v>61496.253194288205</v>
      </c>
      <c r="AF21" s="53">
        <f>SUM(AE21/F21)</f>
        <v>0.24340453525618089</v>
      </c>
      <c r="AG21" s="313">
        <f>SUM(AD21-F21)</f>
        <v>12632.51999999999</v>
      </c>
      <c r="AH21" s="53">
        <f>SUM(AG21/F21)</f>
        <v>4.9999999999999961E-2</v>
      </c>
    </row>
    <row r="22" spans="1:34">
      <c r="A22" t="str">
        <f>RIGHT(C22,3)</f>
        <v>302</v>
      </c>
      <c r="B22">
        <f>A22*1</f>
        <v>302</v>
      </c>
      <c r="C22" s="14" t="s">
        <v>85</v>
      </c>
      <c r="D22" s="299">
        <v>1594818.79</v>
      </c>
      <c r="E22" s="299">
        <v>175603.16999999998</v>
      </c>
      <c r="F22" s="299">
        <f>D22+E22</f>
        <v>1770421.96</v>
      </c>
      <c r="G22" s="300">
        <v>139.5</v>
      </c>
      <c r="H22" s="301">
        <f>SUM(F22/G22)</f>
        <v>12691.196845878136</v>
      </c>
      <c r="I22" s="302">
        <f>F22/$F$177</f>
        <v>1.0130127206548119E-3</v>
      </c>
      <c r="J22" s="303">
        <f>Calculations!AS77</f>
        <v>1602466.1616024673</v>
      </c>
      <c r="K22" s="5">
        <f>E22*1.091947</f>
        <v>191749.35467198998</v>
      </c>
      <c r="L22" s="5">
        <f>J22+K22</f>
        <v>1794215.5162744573</v>
      </c>
      <c r="M22" s="119">
        <v>139.5</v>
      </c>
      <c r="N22" s="55">
        <f>SUM(L22/M22)</f>
        <v>12861.759973293601</v>
      </c>
      <c r="O22" s="33">
        <f>L22/$L$177</f>
        <v>9.3470464121506939E-4</v>
      </c>
      <c r="P22" s="180">
        <f>SUM(H22*'Front page'!$H$10)+H22</f>
        <v>13325.756688172043</v>
      </c>
      <c r="Q22" s="180">
        <f>MIN(N22,P22)*M22</f>
        <v>1794215.5162744573</v>
      </c>
      <c r="R22" s="187"/>
      <c r="S22" s="5">
        <f>L22-F22</f>
        <v>23793.556274457369</v>
      </c>
      <c r="T22" s="5" t="str">
        <f>IF(S22&lt;0,S22,"")</f>
        <v/>
      </c>
      <c r="U22" s="5">
        <f>SUM(Q22-F22)</f>
        <v>23793.556274457369</v>
      </c>
      <c r="V22" s="5">
        <f>SUM(Q22-L22)</f>
        <v>0</v>
      </c>
      <c r="W22" s="52">
        <f>SUM(S22/F22)</f>
        <v>1.3439483248647327E-2</v>
      </c>
      <c r="X22" s="6">
        <f>SUM(F22*$X$1)+F22</f>
        <v>1858943.058</v>
      </c>
      <c r="Y22" s="5">
        <f>MIN(L22,Q22)</f>
        <v>1794215.5162744573</v>
      </c>
      <c r="Z22" s="54">
        <f>SUM(Y22-F22)</f>
        <v>23793.556274457369</v>
      </c>
      <c r="AA22" s="5">
        <f>SUM(Y22-L22)</f>
        <v>0</v>
      </c>
      <c r="AB22" s="55">
        <f>SUM(F22*'Front page'!$H$11)+F22</f>
        <v>1823534.6188000001</v>
      </c>
      <c r="AC22" s="55">
        <f>MAX(AB22,L22)</f>
        <v>1823534.6188000001</v>
      </c>
      <c r="AD22" s="55">
        <f>MAX(Q22,AB22)</f>
        <v>1823534.6188000001</v>
      </c>
      <c r="AE22" s="55">
        <f>SUM(AC22-F22)</f>
        <v>53112.658800000092</v>
      </c>
      <c r="AF22" s="53">
        <f>SUM(AE22/F22)</f>
        <v>3.0000000000000051E-2</v>
      </c>
      <c r="AG22" s="313">
        <f>SUM(AD22-F22)</f>
        <v>53112.658800000092</v>
      </c>
      <c r="AH22" s="53">
        <f>SUM(AG22/F22)</f>
        <v>3.0000000000000051E-2</v>
      </c>
    </row>
    <row r="23" spans="1:34">
      <c r="A23" s="27" t="str">
        <f>RIGHT(C23,3)</f>
        <v>483</v>
      </c>
      <c r="B23" s="27">
        <f>A23*1</f>
        <v>483</v>
      </c>
      <c r="C23" s="15" t="s">
        <v>155</v>
      </c>
      <c r="D23" s="299">
        <v>557158.34000000008</v>
      </c>
      <c r="E23" s="299">
        <v>192506.74</v>
      </c>
      <c r="F23" s="299">
        <f>D23+E23</f>
        <v>749665.08000000007</v>
      </c>
      <c r="G23" s="300">
        <v>78</v>
      </c>
      <c r="H23" s="301">
        <f>SUM(F23/G23)</f>
        <v>9611.0907692307701</v>
      </c>
      <c r="I23" s="302">
        <f>F23/$F$177</f>
        <v>4.2894873619321084E-4</v>
      </c>
      <c r="J23" s="303">
        <f>Calculations!AS147</f>
        <v>703013.34665177518</v>
      </c>
      <c r="K23" s="5">
        <f>E23*1.091947</f>
        <v>210207.15722277999</v>
      </c>
      <c r="L23" s="5">
        <f>J23+K23</f>
        <v>913220.50387455523</v>
      </c>
      <c r="M23" s="119">
        <v>78</v>
      </c>
      <c r="N23" s="55">
        <f>SUM(L23/M23)</f>
        <v>11707.955177878914</v>
      </c>
      <c r="O23" s="33">
        <f>L23/$L$177</f>
        <v>4.7574632795324625E-4</v>
      </c>
      <c r="P23" s="180">
        <f>SUM(H23*'Front page'!$H$10)+H23</f>
        <v>10091.645307692308</v>
      </c>
      <c r="Q23" s="180">
        <f>MIN(N23,P23)*M23</f>
        <v>787148.33400000003</v>
      </c>
      <c r="R23" s="187"/>
      <c r="S23" s="5">
        <f>L23-F23</f>
        <v>163555.42387455516</v>
      </c>
      <c r="T23" s="5" t="str">
        <f>IF(S23&lt;0,S23,"")</f>
        <v/>
      </c>
      <c r="U23" s="5">
        <f>SUM(Q23-F23)</f>
        <v>37483.253999999957</v>
      </c>
      <c r="V23" s="5">
        <f>SUM(Q23-L23)</f>
        <v>-126072.1698745552</v>
      </c>
      <c r="W23" s="52">
        <f>SUM(S23/F23)</f>
        <v>0.21817132508633741</v>
      </c>
      <c r="X23" s="6">
        <f>SUM(F23*$X$1)+F23</f>
        <v>787148.33400000003</v>
      </c>
      <c r="Y23" s="5">
        <f>MIN(L23,Q23)</f>
        <v>787148.33400000003</v>
      </c>
      <c r="Z23" s="54">
        <f>SUM(Y23-F23)</f>
        <v>37483.253999999957</v>
      </c>
      <c r="AA23" s="5">
        <f>SUM(Y23-L23)</f>
        <v>-126072.1698745552</v>
      </c>
      <c r="AB23" s="55">
        <f>SUM(F23*'Front page'!$H$11)+F23</f>
        <v>772155.03240000003</v>
      </c>
      <c r="AC23" s="55">
        <f>MAX(AB23,L23)</f>
        <v>913220.50387455523</v>
      </c>
      <c r="AD23" s="55">
        <f>MAX(Q23,AB23)</f>
        <v>787148.33400000003</v>
      </c>
      <c r="AE23" s="55">
        <f>SUM(AC23-F23)</f>
        <v>163555.42387455516</v>
      </c>
      <c r="AF23" s="53">
        <f>SUM(AE23/F23)</f>
        <v>0.21817132508633741</v>
      </c>
      <c r="AG23" s="313">
        <f>SUM(AD23-F23)</f>
        <v>37483.253999999957</v>
      </c>
      <c r="AH23" s="53">
        <f>SUM(AG23/F23)</f>
        <v>4.999999999999994E-2</v>
      </c>
    </row>
    <row r="24" spans="1:34">
      <c r="A24" s="27" t="str">
        <f>RIGHT(C24,3)</f>
        <v>488</v>
      </c>
      <c r="B24" s="27">
        <f>A24*1</f>
        <v>488</v>
      </c>
      <c r="C24" s="15" t="s">
        <v>159</v>
      </c>
      <c r="D24" s="299">
        <v>737902.03</v>
      </c>
      <c r="E24" s="299">
        <v>120523.12</v>
      </c>
      <c r="F24" s="299">
        <f>D24+E24</f>
        <v>858425.15</v>
      </c>
      <c r="G24" s="300">
        <v>116</v>
      </c>
      <c r="H24" s="301">
        <f>SUM(F24/G24)</f>
        <v>7400.2168103448275</v>
      </c>
      <c r="I24" s="302">
        <f>F24/$F$177</f>
        <v>4.9117985222009734E-4</v>
      </c>
      <c r="J24" s="303">
        <f>Calculations!AS151</f>
        <v>886192.87843747996</v>
      </c>
      <c r="K24" s="5">
        <f>E24*1.091947</f>
        <v>131604.85931463999</v>
      </c>
      <c r="L24" s="5">
        <f>J24+K24</f>
        <v>1017797.73775212</v>
      </c>
      <c r="M24" s="119">
        <v>116</v>
      </c>
      <c r="N24" s="55">
        <f>SUM(L24/M24)</f>
        <v>8774.1184288975855</v>
      </c>
      <c r="O24" s="33">
        <f>L24/$L$177</f>
        <v>5.3022630819205344E-4</v>
      </c>
      <c r="P24" s="180">
        <f>SUM(H24*'Front page'!$H$10)+H24</f>
        <v>7770.2276508620689</v>
      </c>
      <c r="Q24" s="180">
        <f>MIN(N24,P24)*M24</f>
        <v>901346.40749999997</v>
      </c>
      <c r="R24" s="187"/>
      <c r="S24" s="5">
        <f>L24-F24</f>
        <v>159372.58775211999</v>
      </c>
      <c r="T24" s="5" t="str">
        <f>IF(S24&lt;0,S24,"")</f>
        <v/>
      </c>
      <c r="U24" s="5">
        <f>SUM(Q24-F24)</f>
        <v>42921.257499999949</v>
      </c>
      <c r="V24" s="5">
        <f>SUM(Q24-L24)</f>
        <v>-116451.33025212004</v>
      </c>
      <c r="W24" s="52">
        <f>SUM(S24/F24)</f>
        <v>0.18565694137936195</v>
      </c>
      <c r="X24" s="6">
        <f>SUM(F24*$X$1)+F24</f>
        <v>901346.40749999997</v>
      </c>
      <c r="Y24" s="5">
        <f>MIN(L24,Q24)</f>
        <v>901346.40749999997</v>
      </c>
      <c r="Z24" s="54">
        <f>SUM(Y24-F24)</f>
        <v>42921.257499999949</v>
      </c>
      <c r="AA24" s="5">
        <f>SUM(Y24-L24)</f>
        <v>-116451.33025212004</v>
      </c>
      <c r="AB24" s="55">
        <f>SUM(F24*'Front page'!$H$11)+F24</f>
        <v>884177.90450000006</v>
      </c>
      <c r="AC24" s="55">
        <f>MAX(AB24,L24)</f>
        <v>1017797.73775212</v>
      </c>
      <c r="AD24" s="55">
        <f>MAX(Q24,AB24)</f>
        <v>901346.40749999997</v>
      </c>
      <c r="AE24" s="55">
        <f>SUM(AC24-F24)</f>
        <v>159372.58775211999</v>
      </c>
      <c r="AF24" s="53">
        <f>SUM(AE24/F24)</f>
        <v>0.18565694137936195</v>
      </c>
      <c r="AG24" s="313">
        <f>SUM(AD24-F24)</f>
        <v>42921.257499999949</v>
      </c>
      <c r="AH24" s="53">
        <f>SUM(AG24/F24)</f>
        <v>4.999999999999994E-2</v>
      </c>
    </row>
    <row r="25" spans="1:34">
      <c r="A25" s="27" t="str">
        <f>RIGHT(C25,3)</f>
        <v>496</v>
      </c>
      <c r="B25" s="27">
        <f>A25*1</f>
        <v>496</v>
      </c>
      <c r="C25" s="15" t="s">
        <v>167</v>
      </c>
      <c r="D25" s="299">
        <v>793653</v>
      </c>
      <c r="E25" s="299">
        <v>101447.63</v>
      </c>
      <c r="F25" s="299">
        <f>D25+E25</f>
        <v>895100.63</v>
      </c>
      <c r="G25" s="300">
        <v>131</v>
      </c>
      <c r="H25" s="301">
        <f>SUM(F25/G25)</f>
        <v>6832.8292366412215</v>
      </c>
      <c r="I25" s="302">
        <f>F25/$F$177</f>
        <v>5.1216509111541759E-4</v>
      </c>
      <c r="J25" s="303">
        <f>Calculations!AS159</f>
        <v>1117346.1771196497</v>
      </c>
      <c r="K25" s="5">
        <f>E25*1.091947</f>
        <v>110775.43523561</v>
      </c>
      <c r="L25" s="5">
        <f>J25+K25</f>
        <v>1228121.6123552597</v>
      </c>
      <c r="M25" s="119">
        <v>131</v>
      </c>
      <c r="N25" s="55">
        <f>SUM(L25/M25)</f>
        <v>9374.9741401164865</v>
      </c>
      <c r="O25" s="33">
        <f>L25/$L$177</f>
        <v>6.3979547642558623E-4</v>
      </c>
      <c r="P25" s="180">
        <f>SUM(H25*'Front page'!$H$10)+H25</f>
        <v>7174.4706984732829</v>
      </c>
      <c r="Q25" s="180">
        <f>MIN(N25,P25)*M25</f>
        <v>939855.66150000005</v>
      </c>
      <c r="R25" s="187"/>
      <c r="S25" s="5">
        <f>L25-F25</f>
        <v>333020.98235525971</v>
      </c>
      <c r="T25" s="5" t="str">
        <f>IF(S25&lt;0,S25,"")</f>
        <v/>
      </c>
      <c r="U25" s="5">
        <f>SUM(Q25-F25)</f>
        <v>44755.031500000041</v>
      </c>
      <c r="V25" s="5">
        <f>SUM(Q25-L25)</f>
        <v>-288265.95085525967</v>
      </c>
      <c r="W25" s="52">
        <f>SUM(S25/F25)</f>
        <v>0.37204865150777483</v>
      </c>
      <c r="X25" s="6">
        <f>SUM(F25*$X$1)+F25</f>
        <v>939855.66150000005</v>
      </c>
      <c r="Y25" s="5">
        <f>MIN(L25,Q25)</f>
        <v>939855.66150000005</v>
      </c>
      <c r="Z25" s="54">
        <f>SUM(Y25-F25)</f>
        <v>44755.031500000041</v>
      </c>
      <c r="AA25" s="5">
        <f>SUM(Y25-L25)</f>
        <v>-288265.95085525967</v>
      </c>
      <c r="AB25" s="55">
        <f>SUM(F25*'Front page'!$H$11)+F25</f>
        <v>921953.64890000003</v>
      </c>
      <c r="AC25" s="55">
        <f>MAX(AB25,L25)</f>
        <v>1228121.6123552597</v>
      </c>
      <c r="AD25" s="55">
        <f>MAX(Q25,AB25)</f>
        <v>939855.66150000005</v>
      </c>
      <c r="AE25" s="55">
        <f>SUM(AC25-F25)</f>
        <v>333020.98235525971</v>
      </c>
      <c r="AF25" s="53">
        <f>SUM(AE25/F25)</f>
        <v>0.37204865150777483</v>
      </c>
      <c r="AG25" s="313">
        <f>SUM(AD25-F25)</f>
        <v>44755.031500000041</v>
      </c>
      <c r="AH25" s="53">
        <f>SUM(AG25/F25)</f>
        <v>5.0000000000000044E-2</v>
      </c>
    </row>
    <row r="26" spans="1:34">
      <c r="A26" s="27" t="str">
        <f>RIGHT(C26,3)</f>
        <v>497</v>
      </c>
      <c r="B26" s="27">
        <f>A26*1</f>
        <v>497</v>
      </c>
      <c r="C26" s="15" t="s">
        <v>168</v>
      </c>
      <c r="D26" s="299">
        <v>964160.66999999993</v>
      </c>
      <c r="E26" s="299">
        <v>69946.06</v>
      </c>
      <c r="F26" s="299">
        <f>D26+E26</f>
        <v>1034106.73</v>
      </c>
      <c r="G26" s="300">
        <v>106</v>
      </c>
      <c r="H26" s="301">
        <f>SUM(F26/G26)</f>
        <v>9755.7238679245274</v>
      </c>
      <c r="I26" s="302">
        <f>F26/$F$177</f>
        <v>5.9170259727503091E-4</v>
      </c>
      <c r="J26" s="303">
        <f>Calculations!AS160</f>
        <v>2359681.1398382019</v>
      </c>
      <c r="K26" s="5">
        <f>E26*1.091947</f>
        <v>76377.390378819997</v>
      </c>
      <c r="L26" s="5">
        <f>J26+K26</f>
        <v>2436058.5302170217</v>
      </c>
      <c r="M26" s="119">
        <v>106</v>
      </c>
      <c r="N26" s="55">
        <f>SUM(L26/M26)</f>
        <v>22981.684247330395</v>
      </c>
      <c r="O26" s="33">
        <f>L26/$L$177</f>
        <v>1.2690756454906856E-3</v>
      </c>
      <c r="P26" s="180">
        <f>SUM(H26*'Front page'!$H$10)+H26</f>
        <v>10243.510061320754</v>
      </c>
      <c r="Q26" s="180">
        <f>MIN(N26,P26)*M26</f>
        <v>1085812.0665</v>
      </c>
      <c r="R26" s="187"/>
      <c r="S26" s="5">
        <f>L26-F26</f>
        <v>1401951.8002170217</v>
      </c>
      <c r="T26" s="5" t="str">
        <f>IF(S26&lt;0,S26,"")</f>
        <v/>
      </c>
      <c r="U26" s="5">
        <f>SUM(Q26-F26)</f>
        <v>51705.336499999976</v>
      </c>
      <c r="V26" s="5">
        <f>SUM(Q26-L26)</f>
        <v>-1350246.4637170217</v>
      </c>
      <c r="W26" s="52">
        <f>SUM(S26/F26)</f>
        <v>1.3557128674880801</v>
      </c>
      <c r="X26" s="6">
        <f>SUM(F26*$X$1)+F26</f>
        <v>1085812.0665</v>
      </c>
      <c r="Y26" s="5">
        <f>MIN(L26,Q26)</f>
        <v>1085812.0665</v>
      </c>
      <c r="Z26" s="54">
        <f>SUM(Y26-F26)</f>
        <v>51705.336499999976</v>
      </c>
      <c r="AA26" s="5">
        <f>SUM(Y26-L26)</f>
        <v>-1350246.4637170217</v>
      </c>
      <c r="AB26" s="55">
        <f>SUM(F26*'Front page'!$H$11)+F26</f>
        <v>1065129.9319</v>
      </c>
      <c r="AC26" s="55">
        <f>MAX(AB26,L26)</f>
        <v>2436058.5302170217</v>
      </c>
      <c r="AD26" s="55">
        <f>MAX(Q26,AB26)</f>
        <v>1085812.0665</v>
      </c>
      <c r="AE26" s="55">
        <f>SUM(AC26-F26)</f>
        <v>1401951.8002170217</v>
      </c>
      <c r="AF26" s="53">
        <f>SUM(AE26/F26)</f>
        <v>1.3557128674880801</v>
      </c>
      <c r="AG26" s="313">
        <f>SUM(AD26-F26)</f>
        <v>51705.336499999976</v>
      </c>
      <c r="AH26" s="53">
        <f>SUM(AG26/F26)</f>
        <v>4.9999999999999975E-2</v>
      </c>
    </row>
    <row r="27" spans="1:34">
      <c r="A27" s="27" t="str">
        <f>RIGHT(C27,3)</f>
        <v>489</v>
      </c>
      <c r="B27" s="27">
        <f>A27*1</f>
        <v>489</v>
      </c>
      <c r="C27" s="15" t="s">
        <v>160</v>
      </c>
      <c r="D27" s="299">
        <v>989729.71</v>
      </c>
      <c r="E27" s="299">
        <v>95333.6</v>
      </c>
      <c r="F27" s="299">
        <f>D27+E27</f>
        <v>1085063.31</v>
      </c>
      <c r="G27" s="300">
        <v>95</v>
      </c>
      <c r="H27" s="301">
        <f>SUM(F27/G27)</f>
        <v>11421.719052631579</v>
      </c>
      <c r="I27" s="302">
        <f>F27/$F$177</f>
        <v>6.2085929828040295E-4</v>
      </c>
      <c r="J27" s="303">
        <f>Calculations!AS152</f>
        <v>1307888.9256425302</v>
      </c>
      <c r="K27" s="5">
        <f>E27*1.091947</f>
        <v>104099.23851920001</v>
      </c>
      <c r="L27" s="5">
        <f>J27+K27</f>
        <v>1411988.1641617301</v>
      </c>
      <c r="M27" s="119">
        <v>95</v>
      </c>
      <c r="N27" s="55">
        <f>SUM(L27/M27)</f>
        <v>14863.033306965581</v>
      </c>
      <c r="O27" s="33">
        <f>L27/$L$177</f>
        <v>7.3558158337809661E-4</v>
      </c>
      <c r="P27" s="180">
        <f>SUM(H27*'Front page'!$H$10)+H27</f>
        <v>11992.805005263159</v>
      </c>
      <c r="Q27" s="180">
        <f>MIN(N27,P27)*M27</f>
        <v>1139316.4755000002</v>
      </c>
      <c r="R27" s="187"/>
      <c r="S27" s="5">
        <f>L27-F27</f>
        <v>326924.85416173004</v>
      </c>
      <c r="T27" s="5" t="str">
        <f>IF(S27&lt;0,S27,"")</f>
        <v/>
      </c>
      <c r="U27" s="5">
        <f>SUM(Q27-F27)</f>
        <v>54253.165500000119</v>
      </c>
      <c r="V27" s="5">
        <f>SUM(Q27-L27)</f>
        <v>-272671.68866172992</v>
      </c>
      <c r="W27" s="52">
        <f>SUM(S27/F27)</f>
        <v>0.30129564897160704</v>
      </c>
      <c r="X27" s="6">
        <f>SUM(F27*$X$1)+F27</f>
        <v>1139316.4755000002</v>
      </c>
      <c r="Y27" s="5">
        <f>MIN(L27,Q27)</f>
        <v>1139316.4755000002</v>
      </c>
      <c r="Z27" s="54">
        <f>SUM(Y27-F27)</f>
        <v>54253.165500000119</v>
      </c>
      <c r="AA27" s="5">
        <f>SUM(Y27-L27)</f>
        <v>-272671.68866172992</v>
      </c>
      <c r="AB27" s="55">
        <f>SUM(F27*'Front page'!$H$11)+F27</f>
        <v>1117615.2093</v>
      </c>
      <c r="AC27" s="55">
        <f>MAX(AB27,L27)</f>
        <v>1411988.1641617301</v>
      </c>
      <c r="AD27" s="55">
        <f>MAX(Q27,AB27)</f>
        <v>1139316.4755000002</v>
      </c>
      <c r="AE27" s="55">
        <f>SUM(AC27-F27)</f>
        <v>326924.85416173004</v>
      </c>
      <c r="AF27" s="53">
        <f>SUM(AE27/F27)</f>
        <v>0.30129564897160704</v>
      </c>
      <c r="AG27" s="313">
        <f>SUM(AD27-F27)</f>
        <v>54253.165500000119</v>
      </c>
      <c r="AH27" s="53">
        <f>SUM(AG27/F27)</f>
        <v>5.0000000000000107E-2</v>
      </c>
    </row>
    <row r="28" spans="1:34">
      <c r="A28" s="27" t="str">
        <f>RIGHT(C28,3)</f>
        <v>474</v>
      </c>
      <c r="B28" s="27">
        <f>A28*1</f>
        <v>474</v>
      </c>
      <c r="C28" s="15" t="s">
        <v>146</v>
      </c>
      <c r="D28" s="299">
        <v>902464.55</v>
      </c>
      <c r="E28" s="299">
        <v>230210.53</v>
      </c>
      <c r="F28" s="299">
        <f>D28+E28</f>
        <v>1132675.08</v>
      </c>
      <c r="G28" s="300">
        <v>173</v>
      </c>
      <c r="H28" s="301">
        <f>SUM(F28/G28)</f>
        <v>6547.2547976878614</v>
      </c>
      <c r="I28" s="302">
        <f>F28/$F$177</f>
        <v>6.481021419372288E-4</v>
      </c>
      <c r="J28" s="303">
        <f>Calculations!AS138</f>
        <v>1473086.9528281922</v>
      </c>
      <c r="K28" s="5">
        <f>E28*1.091947</f>
        <v>251377.69760191001</v>
      </c>
      <c r="L28" s="5">
        <f>J28+K28</f>
        <v>1724464.6504301021</v>
      </c>
      <c r="M28" s="119">
        <v>173</v>
      </c>
      <c r="N28" s="55">
        <f>SUM(L28/M28)</f>
        <v>9968.0037597115734</v>
      </c>
      <c r="O28" s="33">
        <f>L28/$L$177</f>
        <v>8.9836761400617334E-4</v>
      </c>
      <c r="P28" s="180">
        <f>SUM(H28*'Front page'!$H$10)+H28</f>
        <v>6874.6175375722542</v>
      </c>
      <c r="Q28" s="180">
        <f>MIN(N28,P28)*M28</f>
        <v>1189308.834</v>
      </c>
      <c r="R28" s="187"/>
      <c r="S28" s="5">
        <f>L28-F28</f>
        <v>591789.57043010206</v>
      </c>
      <c r="T28" s="5" t="str">
        <f>IF(S28&lt;0,S28,"")</f>
        <v/>
      </c>
      <c r="U28" s="5">
        <f>SUM(Q28-F28)</f>
        <v>56633.753999999957</v>
      </c>
      <c r="V28" s="5">
        <f>SUM(Q28-L28)</f>
        <v>-535155.8164301021</v>
      </c>
      <c r="W28" s="52">
        <f>SUM(S28/F28)</f>
        <v>0.52247072517045401</v>
      </c>
      <c r="X28" s="6">
        <f>SUM(F28*$X$1)+F28</f>
        <v>1189308.834</v>
      </c>
      <c r="Y28" s="5">
        <f>MIN(L28,Q28)</f>
        <v>1189308.834</v>
      </c>
      <c r="Z28" s="54">
        <f>SUM(Y28-F28)</f>
        <v>56633.753999999957</v>
      </c>
      <c r="AA28" s="5">
        <f>SUM(Y28-L28)</f>
        <v>-535155.8164301021</v>
      </c>
      <c r="AB28" s="55">
        <f>SUM(F28*'Front page'!$H$11)+F28</f>
        <v>1166655.3324000002</v>
      </c>
      <c r="AC28" s="55">
        <f>MAX(AB28,L28)</f>
        <v>1724464.6504301021</v>
      </c>
      <c r="AD28" s="55">
        <f>MAX(Q28,AB28)</f>
        <v>1189308.834</v>
      </c>
      <c r="AE28" s="55">
        <f>SUM(AC28-F28)</f>
        <v>591789.57043010206</v>
      </c>
      <c r="AF28" s="53">
        <f>SUM(AE28/F28)</f>
        <v>0.52247072517045401</v>
      </c>
      <c r="AG28" s="313">
        <f>SUM(AD28-F28)</f>
        <v>56633.753999999957</v>
      </c>
      <c r="AH28" s="53">
        <f>SUM(AG28/F28)</f>
        <v>4.9999999999999961E-2</v>
      </c>
    </row>
    <row r="29" spans="1:34">
      <c r="A29" s="27" t="str">
        <f>RIGHT(C29,3)</f>
        <v>813</v>
      </c>
      <c r="B29" s="27">
        <f>A29*1</f>
        <v>813</v>
      </c>
      <c r="C29" s="15" t="s">
        <v>178</v>
      </c>
      <c r="D29" s="299">
        <v>1040729.0800000001</v>
      </c>
      <c r="E29" s="299">
        <v>132599.79</v>
      </c>
      <c r="F29" s="299">
        <f>D29+E29</f>
        <v>1173328.8700000001</v>
      </c>
      <c r="G29" s="300">
        <v>154.5</v>
      </c>
      <c r="H29" s="301">
        <f>SUM(F29/G29)</f>
        <v>7594.3616181229781</v>
      </c>
      <c r="I29" s="302">
        <f>F29/$F$177</f>
        <v>6.7136371874958905E-4</v>
      </c>
      <c r="J29" s="303">
        <f>Calculations!AS175</f>
        <v>1337361.536033052</v>
      </c>
      <c r="K29" s="5">
        <f>E29*1.091947</f>
        <v>144791.94289113002</v>
      </c>
      <c r="L29" s="5">
        <f>J29+K29</f>
        <v>1482153.478924182</v>
      </c>
      <c r="M29" s="119">
        <v>154.5</v>
      </c>
      <c r="N29" s="55">
        <f>SUM(L29/M29)</f>
        <v>9593.2264008037673</v>
      </c>
      <c r="O29" s="33">
        <f>L29/$L$177</f>
        <v>7.7213451961451901E-4</v>
      </c>
      <c r="P29" s="180">
        <f>SUM(H29*'Front page'!$H$10)+H29</f>
        <v>7974.0796990291274</v>
      </c>
      <c r="Q29" s="180">
        <f>MIN(N29,P29)*M29</f>
        <v>1231995.3135000002</v>
      </c>
      <c r="R29" s="187"/>
      <c r="S29" s="5">
        <f>L29-F29</f>
        <v>308824.6089241819</v>
      </c>
      <c r="T29" s="5" t="str">
        <f>IF(S29&lt;0,S29,"")</f>
        <v/>
      </c>
      <c r="U29" s="5">
        <f>SUM(Q29-F29)</f>
        <v>58666.443500000052</v>
      </c>
      <c r="V29" s="5">
        <f>SUM(Q29-L29)</f>
        <v>-250158.16542418185</v>
      </c>
      <c r="W29" s="52">
        <f>SUM(S29/F29)</f>
        <v>0.26320379291799229</v>
      </c>
      <c r="X29" s="6">
        <f>SUM(F29*$X$1)+F29</f>
        <v>1231995.3135000002</v>
      </c>
      <c r="Y29" s="5">
        <f>MIN(L29,Q29)</f>
        <v>1231995.3135000002</v>
      </c>
      <c r="Z29" s="54">
        <f>SUM(Y29-F29)</f>
        <v>58666.443500000052</v>
      </c>
      <c r="AA29" s="5">
        <f>SUM(Y29-L29)</f>
        <v>-250158.16542418185</v>
      </c>
      <c r="AB29" s="55">
        <f>SUM(F29*'Front page'!$H$11)+F29</f>
        <v>1208528.7361000001</v>
      </c>
      <c r="AC29" s="55">
        <f>MAX(AB29,L29)</f>
        <v>1482153.478924182</v>
      </c>
      <c r="AD29" s="55">
        <f>MAX(Q29,AB29)</f>
        <v>1231995.3135000002</v>
      </c>
      <c r="AE29" s="55">
        <f>SUM(AC29-F29)</f>
        <v>308824.6089241819</v>
      </c>
      <c r="AF29" s="53">
        <f>SUM(AE29/F29)</f>
        <v>0.26320379291799229</v>
      </c>
      <c r="AG29" s="313">
        <f>SUM(AD29-F29)</f>
        <v>58666.443500000052</v>
      </c>
      <c r="AH29" s="53">
        <f>SUM(AG29/F29)</f>
        <v>5.0000000000000037E-2</v>
      </c>
    </row>
    <row r="30" spans="1:34">
      <c r="A30" s="27" t="str">
        <f>RIGHT(C30,3)</f>
        <v>485</v>
      </c>
      <c r="B30" s="27">
        <f>A30*1</f>
        <v>485</v>
      </c>
      <c r="C30" s="15" t="s">
        <v>156</v>
      </c>
      <c r="D30" s="299">
        <v>882828.06</v>
      </c>
      <c r="E30" s="299">
        <v>310977.2</v>
      </c>
      <c r="F30" s="299">
        <f>D30+E30</f>
        <v>1193805.26</v>
      </c>
      <c r="G30" s="300">
        <v>120</v>
      </c>
      <c r="H30" s="301">
        <f>SUM(F30/G30)</f>
        <v>9948.3771666666671</v>
      </c>
      <c r="I30" s="302">
        <f>F30/$F$177</f>
        <v>6.8308004627587481E-4</v>
      </c>
      <c r="J30" s="303">
        <f>Calculations!AS148</f>
        <v>1153924.6128561604</v>
      </c>
      <c r="K30" s="5">
        <f>E30*1.091947</f>
        <v>339570.62060840003</v>
      </c>
      <c r="L30" s="5">
        <f>J30+K30</f>
        <v>1493495.2334645605</v>
      </c>
      <c r="M30" s="119">
        <v>120</v>
      </c>
      <c r="N30" s="55">
        <f>SUM(L30/M30)</f>
        <v>12445.79361220467</v>
      </c>
      <c r="O30" s="33">
        <f>L30/$L$177</f>
        <v>7.7804305764256289E-4</v>
      </c>
      <c r="P30" s="180">
        <f>SUM(H30*'Front page'!$H$10)+H30</f>
        <v>10445.796025</v>
      </c>
      <c r="Q30" s="180">
        <f>MIN(N30,P30)*M30</f>
        <v>1253495.523</v>
      </c>
      <c r="R30" s="187"/>
      <c r="S30" s="5">
        <f>L30-F30</f>
        <v>299689.97346456046</v>
      </c>
      <c r="T30" s="5" t="str">
        <f>IF(S30&lt;0,S30,"")</f>
        <v/>
      </c>
      <c r="U30" s="5">
        <f>SUM(Q30-F30)</f>
        <v>59690.263000000035</v>
      </c>
      <c r="V30" s="5">
        <f>SUM(Q30-L30)</f>
        <v>-239999.71046456043</v>
      </c>
      <c r="W30" s="52">
        <f>SUM(S30/F30)</f>
        <v>0.25103757162584495</v>
      </c>
      <c r="X30" s="6">
        <f>SUM(F30*$X$1)+F30</f>
        <v>1253495.523</v>
      </c>
      <c r="Y30" s="5">
        <f>MIN(L30,Q30)</f>
        <v>1253495.523</v>
      </c>
      <c r="Z30" s="54">
        <f>SUM(Y30-F30)</f>
        <v>59690.263000000035</v>
      </c>
      <c r="AA30" s="5">
        <f>SUM(Y30-L30)</f>
        <v>-239999.71046456043</v>
      </c>
      <c r="AB30" s="55">
        <f>SUM(F30*'Front page'!$H$11)+F30</f>
        <v>1229619.4177999999</v>
      </c>
      <c r="AC30" s="55">
        <f>MAX(AB30,L30)</f>
        <v>1493495.2334645605</v>
      </c>
      <c r="AD30" s="55">
        <f>MAX(Q30,AB30)</f>
        <v>1253495.523</v>
      </c>
      <c r="AE30" s="55">
        <f>SUM(AC30-F30)</f>
        <v>299689.97346456046</v>
      </c>
      <c r="AF30" s="53">
        <f>SUM(AE30/F30)</f>
        <v>0.25103757162584495</v>
      </c>
      <c r="AG30" s="313">
        <f>SUM(AD30-F30)</f>
        <v>59690.263000000035</v>
      </c>
      <c r="AH30" s="53">
        <f>SUM(AG30/F30)</f>
        <v>5.0000000000000031E-2</v>
      </c>
    </row>
    <row r="31" spans="1:34">
      <c r="A31" s="27" t="str">
        <f>RIGHT(C31,3)</f>
        <v>479</v>
      </c>
      <c r="B31" s="27">
        <f>A31*1</f>
        <v>479</v>
      </c>
      <c r="C31" s="15" t="s">
        <v>151</v>
      </c>
      <c r="D31" s="299">
        <v>1014513.16</v>
      </c>
      <c r="E31" s="299">
        <v>185915.58</v>
      </c>
      <c r="F31" s="299">
        <f>D31+E31</f>
        <v>1200428.74</v>
      </c>
      <c r="G31" s="300">
        <v>137</v>
      </c>
      <c r="H31" s="301">
        <f>SUM(F31/G31)</f>
        <v>8762.2535766423352</v>
      </c>
      <c r="I31" s="302">
        <f>F31/$F$177</f>
        <v>6.8686991651392974E-4</v>
      </c>
      <c r="J31" s="303">
        <f>Calculations!AS143</f>
        <v>1395742.1253051052</v>
      </c>
      <c r="K31" s="5">
        <f>E31*1.091947</f>
        <v>203009.95983425999</v>
      </c>
      <c r="L31" s="5">
        <f>J31+K31</f>
        <v>1598752.0851393652</v>
      </c>
      <c r="M31" s="119">
        <v>137</v>
      </c>
      <c r="N31" s="55">
        <f>SUM(L31/M31)</f>
        <v>11669.723249192446</v>
      </c>
      <c r="O31" s="33">
        <f>L31/$L$177</f>
        <v>8.3287708782886548E-4</v>
      </c>
      <c r="P31" s="180">
        <f>SUM(H31*'Front page'!$H$10)+H31</f>
        <v>9200.3662554744515</v>
      </c>
      <c r="Q31" s="180">
        <f>MIN(N31,P31)*M31</f>
        <v>1260450.1769999999</v>
      </c>
      <c r="R31" s="187"/>
      <c r="S31" s="5">
        <f>L31-F31</f>
        <v>398323.34513936518</v>
      </c>
      <c r="T31" s="5" t="str">
        <f>IF(S31&lt;0,S31,"")</f>
        <v/>
      </c>
      <c r="U31" s="5">
        <f>SUM(Q31-F31)</f>
        <v>60021.436999999918</v>
      </c>
      <c r="V31" s="5">
        <f>SUM(Q31-L31)</f>
        <v>-338301.90813936526</v>
      </c>
      <c r="W31" s="52">
        <f>SUM(S31/F31)</f>
        <v>0.33181756806269497</v>
      </c>
      <c r="X31" s="6">
        <f>SUM(F31*$X$1)+F31</f>
        <v>1260450.1769999999</v>
      </c>
      <c r="Y31" s="5">
        <f>MIN(L31,Q31)</f>
        <v>1260450.1769999999</v>
      </c>
      <c r="Z31" s="54">
        <f>SUM(Y31-F31)</f>
        <v>60021.436999999918</v>
      </c>
      <c r="AA31" s="5">
        <f>SUM(Y31-L31)</f>
        <v>-338301.90813936526</v>
      </c>
      <c r="AB31" s="55">
        <f>SUM(F31*'Front page'!$H$11)+F31</f>
        <v>1236441.6022000001</v>
      </c>
      <c r="AC31" s="55">
        <f>MAX(AB31,L31)</f>
        <v>1598752.0851393652</v>
      </c>
      <c r="AD31" s="55">
        <f>MAX(Q31,AB31)</f>
        <v>1260450.1769999999</v>
      </c>
      <c r="AE31" s="55">
        <f>SUM(AC31-F31)</f>
        <v>398323.34513936518</v>
      </c>
      <c r="AF31" s="53">
        <f>SUM(AE31/F31)</f>
        <v>0.33181756806269497</v>
      </c>
      <c r="AG31" s="313">
        <f>SUM(AD31-F31)</f>
        <v>60021.436999999918</v>
      </c>
      <c r="AH31" s="53">
        <f>SUM(AG31/F31)</f>
        <v>4.9999999999999933E-2</v>
      </c>
    </row>
    <row r="32" spans="1:34">
      <c r="A32" s="27" t="str">
        <f>RIGHT(C32,3)</f>
        <v>472</v>
      </c>
      <c r="B32" s="27">
        <f>A32*1</f>
        <v>472</v>
      </c>
      <c r="C32" s="15" t="s">
        <v>144</v>
      </c>
      <c r="D32" s="299">
        <v>1095666.06</v>
      </c>
      <c r="E32" s="299">
        <v>142463.31</v>
      </c>
      <c r="F32" s="299">
        <f>D32+E32</f>
        <v>1238129.3700000001</v>
      </c>
      <c r="G32" s="300">
        <v>179</v>
      </c>
      <c r="H32" s="301">
        <f>SUM(F32/G32)</f>
        <v>6916.9238547486038</v>
      </c>
      <c r="I32" s="302">
        <f>F32/$F$177</f>
        <v>7.0844173308058623E-4</v>
      </c>
      <c r="J32" s="303">
        <f>Calculations!AS136</f>
        <v>1314213.802724093</v>
      </c>
      <c r="K32" s="5">
        <f>E32*1.091947</f>
        <v>155562.38396457001</v>
      </c>
      <c r="L32" s="5">
        <f>J32+K32</f>
        <v>1469776.186688663</v>
      </c>
      <c r="M32" s="119">
        <v>179</v>
      </c>
      <c r="N32" s="55">
        <f>SUM(L32/M32)</f>
        <v>8211.0401490986751</v>
      </c>
      <c r="O32" s="33">
        <f>L32/$L$177</f>
        <v>7.6568651356771083E-4</v>
      </c>
      <c r="P32" s="180">
        <f>SUM(H32*'Front page'!$H$10)+H32</f>
        <v>7262.7700474860339</v>
      </c>
      <c r="Q32" s="180">
        <f>MIN(N32,P32)*M32</f>
        <v>1300035.8385000001</v>
      </c>
      <c r="R32" s="187"/>
      <c r="S32" s="5">
        <f>L32-F32</f>
        <v>231646.81668866286</v>
      </c>
      <c r="T32" s="5" t="str">
        <f>IF(S32&lt;0,S32,"")</f>
        <v/>
      </c>
      <c r="U32" s="5">
        <f>SUM(Q32-F32)</f>
        <v>61906.468499999959</v>
      </c>
      <c r="V32" s="5">
        <f>SUM(Q32-L32)</f>
        <v>-169740.3481886629</v>
      </c>
      <c r="W32" s="52">
        <f>SUM(S32/F32)</f>
        <v>0.18709419411370787</v>
      </c>
      <c r="X32" s="6">
        <f>SUM(F32*$X$1)+F32</f>
        <v>1300035.8385000001</v>
      </c>
      <c r="Y32" s="5">
        <f>MIN(L32,Q32)</f>
        <v>1300035.8385000001</v>
      </c>
      <c r="Z32" s="54">
        <f>SUM(Y32-F32)</f>
        <v>61906.468499999959</v>
      </c>
      <c r="AA32" s="5">
        <f>SUM(Y32-L32)</f>
        <v>-169740.3481886629</v>
      </c>
      <c r="AB32" s="55">
        <f>SUM(F32*'Front page'!$H$11)+F32</f>
        <v>1275273.2511</v>
      </c>
      <c r="AC32" s="55">
        <f>MAX(AB32,L32)</f>
        <v>1469776.186688663</v>
      </c>
      <c r="AD32" s="55">
        <f>MAX(Q32,AB32)</f>
        <v>1300035.8385000001</v>
      </c>
      <c r="AE32" s="55">
        <f>SUM(AC32-F32)</f>
        <v>231646.81668866286</v>
      </c>
      <c r="AF32" s="53">
        <f>SUM(AE32/F32)</f>
        <v>0.18709419411370787</v>
      </c>
      <c r="AG32" s="313">
        <f>SUM(AD32-F32)</f>
        <v>61906.468499999959</v>
      </c>
      <c r="AH32" s="53">
        <f>SUM(AG32/F32)</f>
        <v>4.9999999999999961E-2</v>
      </c>
    </row>
    <row r="33" spans="1:34">
      <c r="A33" t="str">
        <f>RIGHT(C33,3)</f>
        <v>555</v>
      </c>
      <c r="B33">
        <f>A33*1</f>
        <v>555</v>
      </c>
      <c r="C33" s="15" t="s">
        <v>169</v>
      </c>
      <c r="D33" s="299">
        <v>1029069.7599999999</v>
      </c>
      <c r="E33" s="299">
        <v>213112.71</v>
      </c>
      <c r="F33" s="299">
        <f>D33+E33</f>
        <v>1242182.47</v>
      </c>
      <c r="G33" s="300">
        <v>120</v>
      </c>
      <c r="H33" s="301">
        <f>SUM(F33/G33)</f>
        <v>10351.520583333333</v>
      </c>
      <c r="I33" s="302">
        <f>F33/$F$177</f>
        <v>7.1076086487563352E-4</v>
      </c>
      <c r="J33" s="303">
        <f>Calculations!AS166</f>
        <v>1297492.8324370405</v>
      </c>
      <c r="K33" s="5">
        <f>E33*1.091947</f>
        <v>232707.78434637</v>
      </c>
      <c r="L33" s="5">
        <f>J33+K33</f>
        <v>1530200.6167834105</v>
      </c>
      <c r="M33" s="119">
        <v>120</v>
      </c>
      <c r="N33" s="55">
        <f>SUM(L33/M33)</f>
        <v>12751.67180652842</v>
      </c>
      <c r="O33" s="33">
        <f>L33/$L$177</f>
        <v>7.9716489213485758E-4</v>
      </c>
      <c r="P33" s="180">
        <f>SUM(H33*'Front page'!$H$10)+H33</f>
        <v>10869.0966125</v>
      </c>
      <c r="Q33" s="180">
        <f>MIN(N33,P33)*M33</f>
        <v>1304291.5935</v>
      </c>
      <c r="R33" s="187"/>
      <c r="S33" s="5">
        <f>L33-F33</f>
        <v>288018.14678341057</v>
      </c>
      <c r="T33" s="5" t="str">
        <f>IF(S33&lt;0,S33,"")</f>
        <v/>
      </c>
      <c r="U33" s="5">
        <f>SUM(Q33-F33)</f>
        <v>62109.123499999987</v>
      </c>
      <c r="V33" s="5">
        <f>SUM(Q33-L33)</f>
        <v>-225909.02328341058</v>
      </c>
      <c r="W33" s="52">
        <f>SUM(S33/F33)</f>
        <v>0.23186460422631031</v>
      </c>
      <c r="X33" s="6">
        <f>SUM(F33*$X$1)+F33</f>
        <v>1304291.5935</v>
      </c>
      <c r="Y33" s="5">
        <f>MIN(L33,Q33)</f>
        <v>1304291.5935</v>
      </c>
      <c r="Z33" s="54">
        <f>SUM(Y33-F33)</f>
        <v>62109.123499999987</v>
      </c>
      <c r="AA33" s="5">
        <f>SUM(Y33-L33)</f>
        <v>-225909.02328341058</v>
      </c>
      <c r="AB33" s="55">
        <f>SUM(F33*'Front page'!$H$11)+F33</f>
        <v>1279447.9441</v>
      </c>
      <c r="AC33" s="55">
        <f>MAX(AB33,L33)</f>
        <v>1530200.6167834105</v>
      </c>
      <c r="AD33" s="55">
        <f>MAX(Q33,AB33)</f>
        <v>1304291.5935</v>
      </c>
      <c r="AE33" s="55">
        <f>SUM(AC33-F33)</f>
        <v>288018.14678341057</v>
      </c>
      <c r="AF33" s="53">
        <f>SUM(AE33/F33)</f>
        <v>0.23186460422631031</v>
      </c>
      <c r="AG33" s="313">
        <f>SUM(AD33-F33)</f>
        <v>62109.123499999987</v>
      </c>
      <c r="AH33" s="53">
        <f>SUM(AG33/F33)</f>
        <v>4.9999999999999989E-2</v>
      </c>
    </row>
    <row r="34" spans="1:34">
      <c r="A34" t="str">
        <f>RIGHT(C34,3)</f>
        <v>161</v>
      </c>
      <c r="B34">
        <f>A34*1</f>
        <v>161</v>
      </c>
      <c r="C34" s="14" t="s">
        <v>50</v>
      </c>
      <c r="D34" s="299">
        <v>1436622.92</v>
      </c>
      <c r="E34" s="299">
        <v>157618.51</v>
      </c>
      <c r="F34" s="299">
        <f>D34+E34</f>
        <v>1594241.43</v>
      </c>
      <c r="G34" s="300">
        <v>131</v>
      </c>
      <c r="H34" s="301">
        <f>SUM(F34/G34)</f>
        <v>12169.781908396946</v>
      </c>
      <c r="I34" s="302">
        <f>F34/$F$177</f>
        <v>9.1220448281432174E-4</v>
      </c>
      <c r="J34" s="303">
        <f>Calculations!AS42</f>
        <v>1489172.4410467704</v>
      </c>
      <c r="K34" s="5">
        <f>E34*1.091947</f>
        <v>172111.05913897001</v>
      </c>
      <c r="L34" s="5">
        <f>J34+K34</f>
        <v>1661283.5001857404</v>
      </c>
      <c r="M34" s="119">
        <v>131</v>
      </c>
      <c r="N34" s="55">
        <f>SUM(L34/M34)</f>
        <v>12681.553436532369</v>
      </c>
      <c r="O34" s="33">
        <f>L34/$L$177</f>
        <v>8.6545310968099841E-4</v>
      </c>
      <c r="P34" s="180">
        <f>SUM(H34*'Front page'!$H$10)+H34</f>
        <v>12778.271003816793</v>
      </c>
      <c r="Q34" s="180">
        <f>MIN(N34,P34)*M34</f>
        <v>1661283.5001857404</v>
      </c>
      <c r="R34" s="187"/>
      <c r="S34" s="5">
        <f>L34-F34</f>
        <v>67042.070185740478</v>
      </c>
      <c r="T34" s="5" t="str">
        <f>IF(S34&lt;0,S34,"")</f>
        <v/>
      </c>
      <c r="U34" s="5">
        <f>SUM(Q34-F34)</f>
        <v>67042.070185740478</v>
      </c>
      <c r="V34" s="5">
        <f>SUM(Q34-L34)</f>
        <v>0</v>
      </c>
      <c r="W34" s="52">
        <f>SUM(S34/F34)</f>
        <v>4.205264580643879E-2</v>
      </c>
      <c r="X34" s="6">
        <f>SUM(F34*$X$1)+F34</f>
        <v>1673953.5015</v>
      </c>
      <c r="Y34" s="5">
        <f>MIN(L34,Q34)</f>
        <v>1661283.5001857404</v>
      </c>
      <c r="Z34" s="54">
        <f>SUM(Y34-F34)</f>
        <v>67042.070185740478</v>
      </c>
      <c r="AA34" s="5">
        <f>SUM(Y34-L34)</f>
        <v>0</v>
      </c>
      <c r="AB34" s="55">
        <f>SUM(F34*'Front page'!$H$11)+F34</f>
        <v>1642068.6728999999</v>
      </c>
      <c r="AC34" s="55">
        <f>MAX(AB34,L34)</f>
        <v>1661283.5001857404</v>
      </c>
      <c r="AD34" s="55">
        <f>MAX(Q34,AB34)</f>
        <v>1661283.5001857404</v>
      </c>
      <c r="AE34" s="55">
        <f>SUM(AC34-F34)</f>
        <v>67042.070185740478</v>
      </c>
      <c r="AF34" s="53">
        <f>SUM(AE34/F34)</f>
        <v>4.205264580643879E-2</v>
      </c>
      <c r="AG34" s="313">
        <f>SUM(AD34-F34)</f>
        <v>67042.070185740478</v>
      </c>
      <c r="AH34" s="53">
        <f>SUM(AG34/F34)</f>
        <v>4.205264580643879E-2</v>
      </c>
    </row>
    <row r="35" spans="1:34">
      <c r="A35" t="str">
        <f>RIGHT(C35,3)</f>
        <v>342</v>
      </c>
      <c r="B35">
        <f>A35*1</f>
        <v>342</v>
      </c>
      <c r="C35" s="14" t="s">
        <v>96</v>
      </c>
      <c r="D35" s="299">
        <v>1280405.07</v>
      </c>
      <c r="E35" s="299">
        <v>122720.94</v>
      </c>
      <c r="F35" s="299">
        <f>D35+E35</f>
        <v>1403126.01</v>
      </c>
      <c r="G35" s="300">
        <v>92</v>
      </c>
      <c r="H35" s="301">
        <f>SUM(F35/G35)</f>
        <v>15251.369673913043</v>
      </c>
      <c r="I35" s="302">
        <f>F35/$F$177</f>
        <v>8.0285069261772535E-4</v>
      </c>
      <c r="J35" s="303">
        <f>Calculations!AS88</f>
        <v>1374360.0558591422</v>
      </c>
      <c r="K35" s="5">
        <f>E35*1.091947</f>
        <v>134004.76227018001</v>
      </c>
      <c r="L35" s="5">
        <f>J35+K35</f>
        <v>1508364.8181293223</v>
      </c>
      <c r="M35" s="119">
        <v>92</v>
      </c>
      <c r="N35" s="55">
        <f>SUM(L35/M35)</f>
        <v>16395.269762275242</v>
      </c>
      <c r="O35" s="33">
        <f>L35/$L$177</f>
        <v>7.8578943463742507E-4</v>
      </c>
      <c r="P35" s="180">
        <f>SUM(H35*'Front page'!$H$10)+H35</f>
        <v>16013.938157608694</v>
      </c>
      <c r="Q35" s="180">
        <f>MIN(N35,P35)*M35</f>
        <v>1473282.3104999999</v>
      </c>
      <c r="R35" s="187"/>
      <c r="S35" s="5">
        <f>L35-F35</f>
        <v>105238.80812932225</v>
      </c>
      <c r="T35" s="5" t="str">
        <f>IF(S35&lt;0,S35,"")</f>
        <v/>
      </c>
      <c r="U35" s="5">
        <f>SUM(Q35-F35)</f>
        <v>70156.300499999896</v>
      </c>
      <c r="V35" s="5">
        <f>SUM(Q35-L35)</f>
        <v>-35082.507629322354</v>
      </c>
      <c r="W35" s="52">
        <f>SUM(S35/F35)</f>
        <v>7.500310547968693E-2</v>
      </c>
      <c r="X35" s="6">
        <f>SUM(F35*$X$1)+F35</f>
        <v>1473282.3104999999</v>
      </c>
      <c r="Y35" s="5">
        <f>MIN(L35,Q35)</f>
        <v>1473282.3104999999</v>
      </c>
      <c r="Z35" s="54">
        <f>SUM(Y35-F35)</f>
        <v>70156.300499999896</v>
      </c>
      <c r="AA35" s="5">
        <f>SUM(Y35-L35)</f>
        <v>-35082.507629322354</v>
      </c>
      <c r="AB35" s="55">
        <f>SUM(F35*'Front page'!$H$11)+F35</f>
        <v>1445219.7903</v>
      </c>
      <c r="AC35" s="55">
        <f>MAX(AB35,L35)</f>
        <v>1508364.8181293223</v>
      </c>
      <c r="AD35" s="55">
        <f>MAX(Q35,AB35)</f>
        <v>1473282.3104999999</v>
      </c>
      <c r="AE35" s="55">
        <f>SUM(AC35-F35)</f>
        <v>105238.80812932225</v>
      </c>
      <c r="AF35" s="53">
        <f>SUM(AE35/F35)</f>
        <v>7.500310547968693E-2</v>
      </c>
      <c r="AG35" s="313">
        <f>SUM(AD35-F35)</f>
        <v>70156.300499999896</v>
      </c>
      <c r="AH35" s="53">
        <f>SUM(AG35/F35)</f>
        <v>4.9999999999999926E-2</v>
      </c>
    </row>
    <row r="36" spans="1:34">
      <c r="A36" s="27" t="str">
        <f>RIGHT(C36,3)</f>
        <v>796</v>
      </c>
      <c r="B36" s="27">
        <f>A36*1</f>
        <v>796</v>
      </c>
      <c r="C36" s="15" t="s">
        <v>177</v>
      </c>
      <c r="D36" s="299">
        <v>1244792.82</v>
      </c>
      <c r="E36" s="299">
        <v>190701.9</v>
      </c>
      <c r="F36" s="299">
        <f>D36+E36</f>
        <v>1435494.72</v>
      </c>
      <c r="G36" s="300">
        <v>265.5</v>
      </c>
      <c r="H36" s="301">
        <f>SUM(F36/G36)</f>
        <v>5406.7597740112997</v>
      </c>
      <c r="I36" s="302">
        <f>F36/$F$177</f>
        <v>8.2137165300006634E-4</v>
      </c>
      <c r="J36" s="303">
        <f>Calculations!AS174</f>
        <v>1846716.277632775</v>
      </c>
      <c r="K36" s="5">
        <f>E36*1.091947</f>
        <v>208236.36759929999</v>
      </c>
      <c r="L36" s="5">
        <f>J36+K36</f>
        <v>2054952.6452320749</v>
      </c>
      <c r="M36" s="119">
        <v>265.5</v>
      </c>
      <c r="N36" s="55">
        <f>SUM(L36/M36)</f>
        <v>7739.9346336424669</v>
      </c>
      <c r="O36" s="33">
        <f>L36/$L$177</f>
        <v>1.0705368209968081E-3</v>
      </c>
      <c r="P36" s="180">
        <f>SUM(H36*'Front page'!$H$10)+H36</f>
        <v>5677.0977627118646</v>
      </c>
      <c r="Q36" s="180">
        <f>MIN(N36,P36)*M36</f>
        <v>1507269.456</v>
      </c>
      <c r="R36" s="187"/>
      <c r="S36" s="5">
        <f>L36-F36</f>
        <v>619457.92523207492</v>
      </c>
      <c r="T36" s="5" t="str">
        <f>IF(S36&lt;0,S36,"")</f>
        <v/>
      </c>
      <c r="U36" s="5">
        <f>SUM(Q36-F36)</f>
        <v>71774.736000000034</v>
      </c>
      <c r="V36" s="5">
        <f>SUM(Q36-L36)</f>
        <v>-547683.18923207489</v>
      </c>
      <c r="W36" s="52">
        <f>SUM(S36/F36)</f>
        <v>0.43152922584910303</v>
      </c>
      <c r="X36" s="6">
        <f>SUM(F36*$X$1)+F36</f>
        <v>1507269.456</v>
      </c>
      <c r="Y36" s="5">
        <f>MIN(L36,Q36)</f>
        <v>1507269.456</v>
      </c>
      <c r="Z36" s="54">
        <f>SUM(Y36-F36)</f>
        <v>71774.736000000034</v>
      </c>
      <c r="AA36" s="5">
        <f>SUM(Y36-L36)</f>
        <v>-547683.18923207489</v>
      </c>
      <c r="AB36" s="55">
        <f>SUM(F36*'Front page'!$H$11)+F36</f>
        <v>1478559.5615999999</v>
      </c>
      <c r="AC36" s="55">
        <f>MAX(AB36,L36)</f>
        <v>2054952.6452320749</v>
      </c>
      <c r="AD36" s="55">
        <f>MAX(Q36,AB36)</f>
        <v>1507269.456</v>
      </c>
      <c r="AE36" s="55">
        <f>SUM(AC36-F36)</f>
        <v>619457.92523207492</v>
      </c>
      <c r="AF36" s="53">
        <f>SUM(AE36/F36)</f>
        <v>0.43152922584910303</v>
      </c>
      <c r="AG36" s="313">
        <f>SUM(AD36-F36)</f>
        <v>71774.736000000034</v>
      </c>
      <c r="AH36" s="53">
        <f>SUM(AG36/F36)</f>
        <v>5.0000000000000024E-2</v>
      </c>
    </row>
    <row r="37" spans="1:34">
      <c r="A37" s="27" t="str">
        <f>RIGHT(C37,3)</f>
        <v>768</v>
      </c>
      <c r="B37" s="27">
        <f>A37*1</f>
        <v>768</v>
      </c>
      <c r="C37" s="15" t="s">
        <v>172</v>
      </c>
      <c r="D37" s="299">
        <v>1746079</v>
      </c>
      <c r="E37" s="299">
        <v>191218</v>
      </c>
      <c r="F37" s="299">
        <f>D37+E37</f>
        <v>1937297</v>
      </c>
      <c r="G37" s="300">
        <v>201</v>
      </c>
      <c r="H37" s="301">
        <f>SUM(F37/G37)</f>
        <v>9638.2935323383081</v>
      </c>
      <c r="I37" s="302">
        <f>F37/$F$177</f>
        <v>1.1084964765611046E-3</v>
      </c>
      <c r="J37" s="303">
        <f>Calculations!AS169</f>
        <v>1801302.414288834</v>
      </c>
      <c r="K37" s="5">
        <f>E37*1.091947</f>
        <v>208799.92144599999</v>
      </c>
      <c r="L37" s="5">
        <f>J37+K37</f>
        <v>2010102.335734834</v>
      </c>
      <c r="M37" s="119">
        <v>201</v>
      </c>
      <c r="N37" s="55">
        <f>SUM(L37/M37)</f>
        <v>10000.509133009124</v>
      </c>
      <c r="O37" s="33">
        <f>L37/$L$177</f>
        <v>1.0471718505867592E-3</v>
      </c>
      <c r="P37" s="180">
        <f>SUM(H37*'Front page'!$H$10)+H37</f>
        <v>10120.208208955224</v>
      </c>
      <c r="Q37" s="180">
        <f>MIN(N37,P37)*M37</f>
        <v>2010102.335734834</v>
      </c>
      <c r="R37" s="187"/>
      <c r="S37" s="5">
        <f>L37-F37</f>
        <v>72805.335734833963</v>
      </c>
      <c r="T37" s="5" t="str">
        <f>IF(S37&lt;0,S37,"")</f>
        <v/>
      </c>
      <c r="U37" s="5">
        <f>SUM(Q37-F37)</f>
        <v>72805.335734833963</v>
      </c>
      <c r="V37" s="5">
        <f>SUM(Q37-L37)</f>
        <v>0</v>
      </c>
      <c r="W37" s="52">
        <f>SUM(S37/F37)</f>
        <v>3.7580884982960257E-2</v>
      </c>
      <c r="X37" s="6">
        <f>SUM(F37*$X$1)+F37</f>
        <v>2034161.85</v>
      </c>
      <c r="Y37" s="5">
        <f>MIN(L37,Q37)</f>
        <v>2010102.335734834</v>
      </c>
      <c r="Z37" s="54">
        <f>SUM(Y37-F37)</f>
        <v>72805.335734833963</v>
      </c>
      <c r="AA37" s="5">
        <f>SUM(Y37-L37)</f>
        <v>0</v>
      </c>
      <c r="AB37" s="55">
        <f>SUM(F37*'Front page'!$H$11)+F37</f>
        <v>1995415.91</v>
      </c>
      <c r="AC37" s="55">
        <f>MAX(AB37,L37)</f>
        <v>2010102.335734834</v>
      </c>
      <c r="AD37" s="55">
        <f>MAX(Q37,AB37)</f>
        <v>2010102.335734834</v>
      </c>
      <c r="AE37" s="55">
        <f>SUM(AC37-F37)</f>
        <v>72805.335734833963</v>
      </c>
      <c r="AF37" s="53">
        <f>SUM(AE37/F37)</f>
        <v>3.7580884982960257E-2</v>
      </c>
      <c r="AG37" s="313">
        <f>SUM(AD37-F37)</f>
        <v>72805.335734833963</v>
      </c>
      <c r="AH37" s="53">
        <f>SUM(AG37/F37)</f>
        <v>3.7580884982960257E-2</v>
      </c>
    </row>
    <row r="38" spans="1:34">
      <c r="A38" t="str">
        <f>RIGHT(C38,3)</f>
        <v>243</v>
      </c>
      <c r="B38">
        <f>A38*1</f>
        <v>243</v>
      </c>
      <c r="C38" s="14" t="s">
        <v>66</v>
      </c>
      <c r="D38" s="299">
        <v>1332593.32</v>
      </c>
      <c r="E38" s="299">
        <v>128412.06</v>
      </c>
      <c r="F38" s="299">
        <f>D38+E38</f>
        <v>1461005.3800000001</v>
      </c>
      <c r="G38" s="300">
        <v>106.5</v>
      </c>
      <c r="H38" s="301">
        <f>SUM(F38/G38)</f>
        <v>13718.360375586855</v>
      </c>
      <c r="I38" s="302">
        <f>F38/$F$177</f>
        <v>8.3596852520125616E-4</v>
      </c>
      <c r="J38" s="303">
        <f>Calculations!AS58</f>
        <v>1497792.9550417857</v>
      </c>
      <c r="K38" s="5">
        <f>E38*1.091947</f>
        <v>140219.16368082</v>
      </c>
      <c r="L38" s="5">
        <f>J38+K38</f>
        <v>1638012.1187226058</v>
      </c>
      <c r="M38" s="119">
        <v>106.5</v>
      </c>
      <c r="N38" s="55">
        <f>SUM(L38/M38)</f>
        <v>15380.395480963434</v>
      </c>
      <c r="O38" s="33">
        <f>L38/$L$177</f>
        <v>8.5332977886383758E-4</v>
      </c>
      <c r="P38" s="180">
        <f>SUM(H38*'Front page'!$H$10)+H38</f>
        <v>14404.278394366198</v>
      </c>
      <c r="Q38" s="180">
        <f>MIN(N38,P38)*M38</f>
        <v>1534055.649</v>
      </c>
      <c r="R38" s="187"/>
      <c r="S38" s="5">
        <f>L38-F38</f>
        <v>177006.73872260563</v>
      </c>
      <c r="T38" s="5" t="str">
        <f>IF(S38&lt;0,S38,"")</f>
        <v/>
      </c>
      <c r="U38" s="5">
        <f>SUM(Q38-F38)</f>
        <v>73050.268999999855</v>
      </c>
      <c r="V38" s="5">
        <f>SUM(Q38-L38)</f>
        <v>-103956.46972260578</v>
      </c>
      <c r="W38" s="52">
        <f>SUM(S38/F38)</f>
        <v>0.12115406359599143</v>
      </c>
      <c r="X38" s="6">
        <f>SUM(F38*$X$1)+F38</f>
        <v>1534055.6490000002</v>
      </c>
      <c r="Y38" s="5">
        <f>MIN(L38,Q38)</f>
        <v>1534055.649</v>
      </c>
      <c r="Z38" s="54">
        <f>SUM(Y38-F38)</f>
        <v>73050.268999999855</v>
      </c>
      <c r="AA38" s="5">
        <f>SUM(Y38-L38)</f>
        <v>-103956.46972260578</v>
      </c>
      <c r="AB38" s="55">
        <f>SUM(F38*'Front page'!$H$11)+F38</f>
        <v>1504835.5414000002</v>
      </c>
      <c r="AC38" s="55">
        <f>MAX(AB38,L38)</f>
        <v>1638012.1187226058</v>
      </c>
      <c r="AD38" s="55">
        <f>MAX(Q38,AB38)</f>
        <v>1534055.649</v>
      </c>
      <c r="AE38" s="55">
        <f>SUM(AC38-F38)</f>
        <v>177006.73872260563</v>
      </c>
      <c r="AF38" s="53">
        <f>SUM(AE38/F38)</f>
        <v>0.12115406359599143</v>
      </c>
      <c r="AG38" s="313">
        <f>SUM(AD38-F38)</f>
        <v>73050.268999999855</v>
      </c>
      <c r="AH38" s="53">
        <f>SUM(AG38/F38)</f>
        <v>4.9999999999999899E-2</v>
      </c>
    </row>
    <row r="39" spans="1:34">
      <c r="A39" t="str">
        <f>RIGHT(C39,3)</f>
        <v>292</v>
      </c>
      <c r="B39">
        <f>A39*1</f>
        <v>292</v>
      </c>
      <c r="C39" s="14" t="s">
        <v>84</v>
      </c>
      <c r="D39" s="299">
        <v>1400734.55</v>
      </c>
      <c r="E39" s="299">
        <v>136147.91</v>
      </c>
      <c r="F39" s="299">
        <f>D39+E39</f>
        <v>1536882.46</v>
      </c>
      <c r="G39" s="300">
        <v>94</v>
      </c>
      <c r="H39" s="301">
        <f>SUM(F39/G39)</f>
        <v>16349.813404255319</v>
      </c>
      <c r="I39" s="302">
        <f>F39/$F$177</f>
        <v>8.7938441643101856E-4</v>
      </c>
      <c r="J39" s="303">
        <f>Calculations!AS76</f>
        <v>1636332.0645452503</v>
      </c>
      <c r="K39" s="5">
        <f>E39*1.091947</f>
        <v>148666.30188077001</v>
      </c>
      <c r="L39" s="5">
        <f>J39+K39</f>
        <v>1784998.3664260204</v>
      </c>
      <c r="M39" s="119">
        <v>94</v>
      </c>
      <c r="N39" s="55">
        <f>SUM(L39/M39)</f>
        <v>18989.344323681067</v>
      </c>
      <c r="O39" s="33">
        <f>L39/$L$177</f>
        <v>9.2990292555495855E-4</v>
      </c>
      <c r="P39" s="180">
        <f>SUM(H39*'Front page'!$H$10)+H39</f>
        <v>17167.304074468084</v>
      </c>
      <c r="Q39" s="180">
        <f>MIN(N39,P39)*M39</f>
        <v>1613726.5829999999</v>
      </c>
      <c r="R39" s="187"/>
      <c r="S39" s="5">
        <f>L39-F39</f>
        <v>248115.90642602043</v>
      </c>
      <c r="T39" s="5" t="str">
        <f>IF(S39&lt;0,S39,"")</f>
        <v/>
      </c>
      <c r="U39" s="5">
        <f>SUM(Q39-F39)</f>
        <v>76844.122999999905</v>
      </c>
      <c r="V39" s="5">
        <f>SUM(Q39-L39)</f>
        <v>-171271.78342602053</v>
      </c>
      <c r="W39" s="52">
        <f>SUM(S39/F39)</f>
        <v>0.16144104242429863</v>
      </c>
      <c r="X39" s="6">
        <f>SUM(F39*$X$1)+F39</f>
        <v>1613726.5829999999</v>
      </c>
      <c r="Y39" s="5">
        <f>MIN(L39,Q39)</f>
        <v>1613726.5829999999</v>
      </c>
      <c r="Z39" s="54">
        <f>SUM(Y39-F39)</f>
        <v>76844.122999999905</v>
      </c>
      <c r="AA39" s="5">
        <f>SUM(Y39-L39)</f>
        <v>-171271.78342602053</v>
      </c>
      <c r="AB39" s="55">
        <f>SUM(F39*'Front page'!$H$11)+F39</f>
        <v>1582988.9338</v>
      </c>
      <c r="AC39" s="55">
        <f>MAX(AB39,L39)</f>
        <v>1784998.3664260204</v>
      </c>
      <c r="AD39" s="55">
        <f>MAX(Q39,AB39)</f>
        <v>1613726.5829999999</v>
      </c>
      <c r="AE39" s="55">
        <f>SUM(AC39-F39)</f>
        <v>248115.90642602043</v>
      </c>
      <c r="AF39" s="53">
        <f>SUM(AE39/F39)</f>
        <v>0.16144104242429863</v>
      </c>
      <c r="AG39" s="313">
        <f>SUM(AD39-F39)</f>
        <v>76844.122999999905</v>
      </c>
      <c r="AH39" s="53">
        <f>SUM(AG39/F39)</f>
        <v>4.999999999999994E-2</v>
      </c>
    </row>
    <row r="40" spans="1:34">
      <c r="A40" t="str">
        <f>RIGHT(C40,3)</f>
        <v>432</v>
      </c>
      <c r="B40">
        <f>A40*1</f>
        <v>432</v>
      </c>
      <c r="C40" s="14" t="s">
        <v>124</v>
      </c>
      <c r="D40" s="299">
        <v>1443550.76</v>
      </c>
      <c r="E40" s="299">
        <v>124974.6</v>
      </c>
      <c r="F40" s="299">
        <f>D40+E40</f>
        <v>1568525.36</v>
      </c>
      <c r="G40" s="300">
        <v>122.5</v>
      </c>
      <c r="H40" s="301">
        <f>SUM(F40/G40)</f>
        <v>12804.288653061225</v>
      </c>
      <c r="I40" s="302">
        <f>F40/$F$177</f>
        <v>8.9749007764774243E-4</v>
      </c>
      <c r="J40" s="303">
        <f>Calculations!AS116</f>
        <v>1526527.12761349</v>
      </c>
      <c r="K40" s="5">
        <f>E40*1.091947</f>
        <v>136465.63954619999</v>
      </c>
      <c r="L40" s="5">
        <f>J40+K40</f>
        <v>1662992.7671596899</v>
      </c>
      <c r="M40" s="119">
        <v>122.5</v>
      </c>
      <c r="N40" s="55">
        <f>SUM(L40/M40)</f>
        <v>13575.451160487264</v>
      </c>
      <c r="O40" s="33">
        <f>L40/$L$177</f>
        <v>8.6634355999710294E-4</v>
      </c>
      <c r="P40" s="180">
        <f>SUM(H40*'Front page'!$H$10)+H40</f>
        <v>13444.503085714286</v>
      </c>
      <c r="Q40" s="180">
        <f>MIN(N40,P40)*M40</f>
        <v>1646951.628</v>
      </c>
      <c r="R40" s="187"/>
      <c r="S40" s="5">
        <f>L40-F40</f>
        <v>94467.407159689814</v>
      </c>
      <c r="T40" s="5" t="str">
        <f>IF(S40&lt;0,S40,"")</f>
        <v/>
      </c>
      <c r="U40" s="5">
        <f>SUM(Q40-F40)</f>
        <v>78426.267999999924</v>
      </c>
      <c r="V40" s="5">
        <f>SUM(Q40-L40)</f>
        <v>-16041.13915968989</v>
      </c>
      <c r="W40" s="52">
        <f>SUM(S40/F40)</f>
        <v>6.0226891811101996E-2</v>
      </c>
      <c r="X40" s="6">
        <f>SUM(F40*$X$1)+F40</f>
        <v>1646951.628</v>
      </c>
      <c r="Y40" s="5">
        <f>MIN(L40,Q40)</f>
        <v>1646951.628</v>
      </c>
      <c r="Z40" s="54">
        <f>SUM(Y40-F40)</f>
        <v>78426.267999999924</v>
      </c>
      <c r="AA40" s="5">
        <f>SUM(Y40-L40)</f>
        <v>-16041.13915968989</v>
      </c>
      <c r="AB40" s="55">
        <f>SUM(F40*'Front page'!$H$11)+F40</f>
        <v>1615581.1208000001</v>
      </c>
      <c r="AC40" s="55">
        <f>MAX(AB40,L40)</f>
        <v>1662992.7671596899</v>
      </c>
      <c r="AD40" s="55">
        <f>MAX(Q40,AB40)</f>
        <v>1646951.628</v>
      </c>
      <c r="AE40" s="55">
        <f>SUM(AC40-F40)</f>
        <v>94467.407159689814</v>
      </c>
      <c r="AF40" s="53">
        <f>SUM(AE40/F40)</f>
        <v>6.0226891811101996E-2</v>
      </c>
      <c r="AG40" s="313">
        <f>SUM(AD40-F40)</f>
        <v>78426.267999999924</v>
      </c>
      <c r="AH40" s="53">
        <f>SUM(AG40/F40)</f>
        <v>4.9999999999999947E-2</v>
      </c>
    </row>
    <row r="41" spans="1:34">
      <c r="A41" t="str">
        <f>RIGHT(C41,3)</f>
        <v>274</v>
      </c>
      <c r="B41">
        <f>A41*1</f>
        <v>274</v>
      </c>
      <c r="C41" s="14" t="s">
        <v>76</v>
      </c>
      <c r="D41" s="299">
        <v>1395332.5</v>
      </c>
      <c r="E41" s="299">
        <v>218962.76</v>
      </c>
      <c r="F41" s="299">
        <f>D41+E41</f>
        <v>1614295.26</v>
      </c>
      <c r="G41" s="300">
        <v>134</v>
      </c>
      <c r="H41" s="301">
        <f>SUM(F41/G41)</f>
        <v>12046.979552238807</v>
      </c>
      <c r="I41" s="302">
        <f>F41/$F$177</f>
        <v>9.2367902693252116E-4</v>
      </c>
      <c r="J41" s="303">
        <f>Calculations!AS68</f>
        <v>1580667.6333263037</v>
      </c>
      <c r="K41" s="5">
        <f>E41*1.091947</f>
        <v>239095.72889372002</v>
      </c>
      <c r="L41" s="5">
        <f>J41+K41</f>
        <v>1819763.3622200238</v>
      </c>
      <c r="M41" s="119">
        <v>134</v>
      </c>
      <c r="N41" s="55">
        <f>SUM(L41/M41)</f>
        <v>13580.323598656894</v>
      </c>
      <c r="O41" s="33">
        <f>L41/$L$177</f>
        <v>9.4801390644088388E-4</v>
      </c>
      <c r="P41" s="180">
        <f>SUM(H41*'Front page'!$H$10)+H41</f>
        <v>12649.328529850747</v>
      </c>
      <c r="Q41" s="180">
        <f>MIN(N41,P41)*M41</f>
        <v>1695010.023</v>
      </c>
      <c r="R41" s="187"/>
      <c r="S41" s="5">
        <f>L41-F41</f>
        <v>205468.10222002375</v>
      </c>
      <c r="T41" s="5" t="str">
        <f>IF(S41&lt;0,S41,"")</f>
        <v/>
      </c>
      <c r="U41" s="5">
        <f>SUM(Q41-F41)</f>
        <v>80714.763000000035</v>
      </c>
      <c r="V41" s="5">
        <f>SUM(Q41-L41)</f>
        <v>-124753.33922002371</v>
      </c>
      <c r="W41" s="52">
        <f>SUM(S41/F41)</f>
        <v>0.1272803726252803</v>
      </c>
      <c r="X41" s="6">
        <f>SUM(F41*$X$1)+F41</f>
        <v>1695010.023</v>
      </c>
      <c r="Y41" s="5">
        <f>MIN(L41,Q41)</f>
        <v>1695010.023</v>
      </c>
      <c r="Z41" s="54">
        <f>SUM(Y41-F41)</f>
        <v>80714.763000000035</v>
      </c>
      <c r="AA41" s="5">
        <f>SUM(Y41-L41)</f>
        <v>-124753.33922002371</v>
      </c>
      <c r="AB41" s="55">
        <f>SUM(F41*'Front page'!$H$11)+F41</f>
        <v>1662724.1178000001</v>
      </c>
      <c r="AC41" s="55">
        <f>MAX(AB41,L41)</f>
        <v>1819763.3622200238</v>
      </c>
      <c r="AD41" s="55">
        <f>MAX(Q41,AB41)</f>
        <v>1695010.023</v>
      </c>
      <c r="AE41" s="55">
        <f>SUM(AC41-F41)</f>
        <v>205468.10222002375</v>
      </c>
      <c r="AF41" s="53">
        <f>SUM(AE41/F41)</f>
        <v>0.1272803726252803</v>
      </c>
      <c r="AG41" s="313">
        <f>SUM(AD41-F41)</f>
        <v>80714.763000000035</v>
      </c>
      <c r="AH41" s="53">
        <f>SUM(AG41/F41)</f>
        <v>5.0000000000000024E-2</v>
      </c>
    </row>
    <row r="42" spans="1:34">
      <c r="A42" t="str">
        <f>RIGHT(C42,3)</f>
        <v>234</v>
      </c>
      <c r="B42">
        <f>A42*1</f>
        <v>234</v>
      </c>
      <c r="C42" s="14" t="s">
        <v>64</v>
      </c>
      <c r="D42" s="299">
        <v>1506724.53</v>
      </c>
      <c r="E42" s="299">
        <v>142108.89000000001</v>
      </c>
      <c r="F42" s="299">
        <f>D42+E42</f>
        <v>1648833.42</v>
      </c>
      <c r="G42" s="300">
        <v>127</v>
      </c>
      <c r="H42" s="301">
        <f>SUM(F42/G42)</f>
        <v>12982.94031496063</v>
      </c>
      <c r="I42" s="302">
        <f>F42/$F$177</f>
        <v>9.4344131875814395E-4</v>
      </c>
      <c r="J42" s="303">
        <f>Calculations!AS56</f>
        <v>1646060.8748809323</v>
      </c>
      <c r="K42" s="5">
        <f>E42*1.091947</f>
        <v>155175.37610883001</v>
      </c>
      <c r="L42" s="5">
        <f>J42+K42</f>
        <v>1801236.2509897624</v>
      </c>
      <c r="M42" s="119">
        <v>127</v>
      </c>
      <c r="N42" s="55">
        <f>SUM(L42/M42)</f>
        <v>14182.962606218602</v>
      </c>
      <c r="O42" s="33">
        <f>L42/$L$177</f>
        <v>9.3836212453500046E-4</v>
      </c>
      <c r="P42" s="180">
        <f>SUM(H42*'Front page'!$H$10)+H42</f>
        <v>13632.08733070866</v>
      </c>
      <c r="Q42" s="180">
        <f>MIN(N42,P42)*M42</f>
        <v>1731275.0909999998</v>
      </c>
      <c r="R42" s="187"/>
      <c r="S42" s="5">
        <f>L42-F42</f>
        <v>152402.83098976244</v>
      </c>
      <c r="T42" s="5" t="str">
        <f>IF(S42&lt;0,S42,"")</f>
        <v/>
      </c>
      <c r="U42" s="5">
        <f>SUM(Q42-F42)</f>
        <v>82441.670999999857</v>
      </c>
      <c r="V42" s="5">
        <f>SUM(Q42-L42)</f>
        <v>-69961.159989762586</v>
      </c>
      <c r="W42" s="52">
        <f>SUM(S42/F42)</f>
        <v>9.2430702302093354E-2</v>
      </c>
      <c r="X42" s="6">
        <f>SUM(F42*$X$1)+F42</f>
        <v>1731275.091</v>
      </c>
      <c r="Y42" s="5">
        <f>MIN(L42,Q42)</f>
        <v>1731275.0909999998</v>
      </c>
      <c r="Z42" s="54">
        <f>SUM(Y42-F42)</f>
        <v>82441.670999999857</v>
      </c>
      <c r="AA42" s="5">
        <f>SUM(Y42-L42)</f>
        <v>-69961.159989762586</v>
      </c>
      <c r="AB42" s="55">
        <f>SUM(F42*'Front page'!$H$11)+F42</f>
        <v>1698298.4225999999</v>
      </c>
      <c r="AC42" s="55">
        <f>MAX(AB42,L42)</f>
        <v>1801236.2509897624</v>
      </c>
      <c r="AD42" s="55">
        <f>MAX(Q42,AB42)</f>
        <v>1731275.0909999998</v>
      </c>
      <c r="AE42" s="55">
        <f>SUM(AC42-F42)</f>
        <v>152402.83098976244</v>
      </c>
      <c r="AF42" s="53">
        <f>SUM(AE42/F42)</f>
        <v>9.2430702302093354E-2</v>
      </c>
      <c r="AG42" s="313">
        <f>SUM(AD42-F42)</f>
        <v>82441.670999999857</v>
      </c>
      <c r="AH42" s="53">
        <f>SUM(AG42/F42)</f>
        <v>4.9999999999999913E-2</v>
      </c>
    </row>
    <row r="43" spans="1:34">
      <c r="A43" t="str">
        <f>RIGHT(C43,3)</f>
        <v>382</v>
      </c>
      <c r="B43">
        <f>A43*1</f>
        <v>382</v>
      </c>
      <c r="C43" s="14" t="s">
        <v>106</v>
      </c>
      <c r="D43" s="299">
        <v>1459109.81</v>
      </c>
      <c r="E43" s="299">
        <v>198660.96</v>
      </c>
      <c r="F43" s="299">
        <f>D43+E43</f>
        <v>1657770.77</v>
      </c>
      <c r="G43" s="300">
        <v>171</v>
      </c>
      <c r="H43" s="301">
        <f>SUM(F43/G43)</f>
        <v>9694.5659064327483</v>
      </c>
      <c r="I43" s="302">
        <f>F43/$F$177</f>
        <v>9.4855515570972833E-4</v>
      </c>
      <c r="J43" s="303">
        <f>Calculations!AS98</f>
        <v>1663908.3644635079</v>
      </c>
      <c r="K43" s="5">
        <f>E43*1.091947</f>
        <v>216927.23928911999</v>
      </c>
      <c r="L43" s="5">
        <f>J43+K43</f>
        <v>1880835.603752628</v>
      </c>
      <c r="M43" s="119">
        <v>171</v>
      </c>
      <c r="N43" s="55">
        <f>SUM(L43/M43)</f>
        <v>10999.038618436422</v>
      </c>
      <c r="O43" s="33">
        <f>L43/$L$177</f>
        <v>9.7982976528958234E-4</v>
      </c>
      <c r="P43" s="180">
        <f>SUM(H43*'Front page'!$H$10)+H43</f>
        <v>10179.294201754386</v>
      </c>
      <c r="Q43" s="180">
        <f>MIN(N43,P43)*M43</f>
        <v>1740659.3085</v>
      </c>
      <c r="R43" s="187"/>
      <c r="S43" s="5">
        <f>L43-F43</f>
        <v>223064.83375262795</v>
      </c>
      <c r="T43" s="5" t="str">
        <f>IF(S43&lt;0,S43,"")</f>
        <v/>
      </c>
      <c r="U43" s="5">
        <f>SUM(Q43-F43)</f>
        <v>82888.538500000024</v>
      </c>
      <c r="V43" s="5">
        <f>SUM(Q43-L43)</f>
        <v>-140176.29525262793</v>
      </c>
      <c r="W43" s="52">
        <f>SUM(S43/F43)</f>
        <v>0.13455710390684952</v>
      </c>
      <c r="X43" s="6">
        <f>SUM(F43*$X$1)+F43</f>
        <v>1740659.3085</v>
      </c>
      <c r="Y43" s="5">
        <f>MIN(L43,Q43)</f>
        <v>1740659.3085</v>
      </c>
      <c r="Z43" s="54">
        <f>SUM(Y43-F43)</f>
        <v>82888.538500000024</v>
      </c>
      <c r="AA43" s="5">
        <f>SUM(Y43-L43)</f>
        <v>-140176.29525262793</v>
      </c>
      <c r="AB43" s="55">
        <f>SUM(F43*'Front page'!$H$11)+F43</f>
        <v>1707503.8931</v>
      </c>
      <c r="AC43" s="55">
        <f>MAX(AB43,L43)</f>
        <v>1880835.603752628</v>
      </c>
      <c r="AD43" s="55">
        <f>MAX(Q43,AB43)</f>
        <v>1740659.3085</v>
      </c>
      <c r="AE43" s="55">
        <f>SUM(AC43-F43)</f>
        <v>223064.83375262795</v>
      </c>
      <c r="AF43" s="53">
        <f>SUM(AE43/F43)</f>
        <v>0.13455710390684952</v>
      </c>
      <c r="AG43" s="313">
        <f>SUM(AD43-F43)</f>
        <v>82888.538500000024</v>
      </c>
      <c r="AH43" s="53">
        <f>SUM(AG43/F43)</f>
        <v>5.0000000000000017E-2</v>
      </c>
    </row>
    <row r="44" spans="1:34">
      <c r="A44" s="27" t="str">
        <f>RIGHT(C44,3)</f>
        <v>454</v>
      </c>
      <c r="B44" s="27">
        <f>A44*1</f>
        <v>454</v>
      </c>
      <c r="C44" s="15" t="s">
        <v>129</v>
      </c>
      <c r="D44" s="299">
        <v>1487500.38</v>
      </c>
      <c r="E44" s="299">
        <v>184994.12</v>
      </c>
      <c r="F44" s="299">
        <f>D44+E44</f>
        <v>1672494.5</v>
      </c>
      <c r="G44" s="300">
        <v>252</v>
      </c>
      <c r="H44" s="301">
        <f>SUM(F44/G44)</f>
        <v>6636.8829365079364</v>
      </c>
      <c r="I44" s="302">
        <f>F44/$F$177</f>
        <v>9.569798850242511E-4</v>
      </c>
      <c r="J44" s="303">
        <f>Calculations!AS121</f>
        <v>1704403.7786961813</v>
      </c>
      <c r="K44" s="5">
        <f>E44*1.091947</f>
        <v>202003.77435163999</v>
      </c>
      <c r="L44" s="5">
        <f>J44+K44</f>
        <v>1906407.5530478212</v>
      </c>
      <c r="M44" s="119">
        <v>252</v>
      </c>
      <c r="N44" s="55">
        <f>SUM(L44/M44)</f>
        <v>7565.1093374913535</v>
      </c>
      <c r="O44" s="33">
        <f>L44/$L$177</f>
        <v>9.9315158726377001E-4</v>
      </c>
      <c r="P44" s="180">
        <f>SUM(H44*'Front page'!$H$10)+H44</f>
        <v>6968.7270833333332</v>
      </c>
      <c r="Q44" s="180">
        <f>MIN(N44,P44)*M44</f>
        <v>1756119.2249999999</v>
      </c>
      <c r="R44" s="187"/>
      <c r="S44" s="5">
        <f>L44-F44</f>
        <v>233913.05304782116</v>
      </c>
      <c r="T44" s="5" t="str">
        <f>IF(S44&lt;0,S44,"")</f>
        <v/>
      </c>
      <c r="U44" s="5">
        <f>SUM(Q44-F44)</f>
        <v>83624.72499999986</v>
      </c>
      <c r="V44" s="5">
        <f>SUM(Q44-L44)</f>
        <v>-150288.3280478213</v>
      </c>
      <c r="W44" s="52">
        <f>SUM(S44/F44)</f>
        <v>0.13985878760607054</v>
      </c>
      <c r="X44" s="6">
        <f>SUM(F44*$X$1)+F44</f>
        <v>1756119.2250000001</v>
      </c>
      <c r="Y44" s="5">
        <f>MIN(L44,Q44)</f>
        <v>1756119.2249999999</v>
      </c>
      <c r="Z44" s="54">
        <f>SUM(Y44-F44)</f>
        <v>83624.72499999986</v>
      </c>
      <c r="AA44" s="5">
        <f>SUM(Y44-L44)</f>
        <v>-150288.3280478213</v>
      </c>
      <c r="AB44" s="55">
        <f>SUM(F44*'Front page'!$H$11)+F44</f>
        <v>1722669.335</v>
      </c>
      <c r="AC44" s="55">
        <f>MAX(AB44,L44)</f>
        <v>1906407.5530478212</v>
      </c>
      <c r="AD44" s="55">
        <f>MAX(Q44,AB44)</f>
        <v>1756119.2249999999</v>
      </c>
      <c r="AE44" s="55">
        <f>SUM(AC44-F44)</f>
        <v>233913.05304782116</v>
      </c>
      <c r="AF44" s="53">
        <f>SUM(AE44/F44)</f>
        <v>0.13985878760607054</v>
      </c>
      <c r="AG44" s="313">
        <f>SUM(AD44-F44)</f>
        <v>83624.72499999986</v>
      </c>
      <c r="AH44" s="53">
        <f>SUM(AG44/F44)</f>
        <v>4.999999999999992E-2</v>
      </c>
    </row>
    <row r="45" spans="1:34">
      <c r="A45" t="str">
        <f>RIGHT(C45,3)</f>
        <v>149</v>
      </c>
      <c r="B45">
        <f>A45*1</f>
        <v>149</v>
      </c>
      <c r="C45" s="14" t="s">
        <v>47</v>
      </c>
      <c r="D45" s="299">
        <v>1513242.93</v>
      </c>
      <c r="E45" s="299">
        <v>172623.7</v>
      </c>
      <c r="F45" s="299">
        <f>D45+E45</f>
        <v>1685866.63</v>
      </c>
      <c r="G45" s="300">
        <v>157.5</v>
      </c>
      <c r="H45" s="301">
        <f>SUM(F45/G45)</f>
        <v>10703.91511111111</v>
      </c>
      <c r="I45" s="302">
        <f>F45/$F$177</f>
        <v>9.6463124616769829E-4</v>
      </c>
      <c r="J45" s="303">
        <f>Calculations!AS39</f>
        <v>1647422.4285795968</v>
      </c>
      <c r="K45" s="5">
        <f>E45*1.091947</f>
        <v>188495.93134390001</v>
      </c>
      <c r="L45" s="5">
        <f>J45+K45</f>
        <v>1835918.3599234968</v>
      </c>
      <c r="M45" s="119">
        <v>157.5</v>
      </c>
      <c r="N45" s="55">
        <f>SUM(L45/M45)</f>
        <v>11656.624507450773</v>
      </c>
      <c r="O45" s="33">
        <f>L45/$L$177</f>
        <v>9.5642992513835304E-4</v>
      </c>
      <c r="P45" s="180">
        <f>SUM(H45*'Front page'!$H$10)+H45</f>
        <v>11239.110866666666</v>
      </c>
      <c r="Q45" s="180">
        <f>MIN(N45,P45)*M45</f>
        <v>1770159.9615</v>
      </c>
      <c r="R45" s="187"/>
      <c r="S45" s="5">
        <f>L45-F45</f>
        <v>150051.72992349695</v>
      </c>
      <c r="T45" s="5" t="str">
        <f>IF(S45&lt;0,S45,"")</f>
        <v/>
      </c>
      <c r="U45" s="5">
        <f>SUM(Q45-F45)</f>
        <v>84293.331500000088</v>
      </c>
      <c r="V45" s="5">
        <f>SUM(Q45-L45)</f>
        <v>-65758.398423496867</v>
      </c>
      <c r="W45" s="52">
        <f>SUM(S45/F45)</f>
        <v>8.9005694313729289E-2</v>
      </c>
      <c r="X45" s="6">
        <f>SUM(F45*$X$1)+F45</f>
        <v>1770159.9615</v>
      </c>
      <c r="Y45" s="5">
        <f>MIN(L45,Q45)</f>
        <v>1770159.9615</v>
      </c>
      <c r="Z45" s="54">
        <f>SUM(Y45-F45)</f>
        <v>84293.331500000088</v>
      </c>
      <c r="AA45" s="5">
        <f>SUM(Y45-L45)</f>
        <v>-65758.398423496867</v>
      </c>
      <c r="AB45" s="55">
        <f>SUM(F45*'Front page'!$H$11)+F45</f>
        <v>1736442.6288999999</v>
      </c>
      <c r="AC45" s="55">
        <f>MAX(AB45,L45)</f>
        <v>1835918.3599234968</v>
      </c>
      <c r="AD45" s="55">
        <f>MAX(Q45,AB45)</f>
        <v>1770159.9615</v>
      </c>
      <c r="AE45" s="55">
        <f>SUM(AC45-F45)</f>
        <v>150051.72992349695</v>
      </c>
      <c r="AF45" s="53">
        <f>SUM(AE45/F45)</f>
        <v>8.9005694313729289E-2</v>
      </c>
      <c r="AG45" s="313">
        <f>SUM(AD45-F45)</f>
        <v>84293.331500000088</v>
      </c>
      <c r="AH45" s="53">
        <f>SUM(AG45/F45)</f>
        <v>5.0000000000000058E-2</v>
      </c>
    </row>
    <row r="46" spans="1:34">
      <c r="A46" t="str">
        <f>RIGHT(C46,3)</f>
        <v>011</v>
      </c>
      <c r="B46">
        <f>A46*1</f>
        <v>11</v>
      </c>
      <c r="C46" s="14" t="s">
        <v>14</v>
      </c>
      <c r="D46" s="299">
        <v>1505839</v>
      </c>
      <c r="E46" s="299">
        <v>190147</v>
      </c>
      <c r="F46" s="299">
        <f>D46+E46</f>
        <v>1695986</v>
      </c>
      <c r="G46" s="300">
        <v>160</v>
      </c>
      <c r="H46" s="301">
        <f>SUM(F46/G46)</f>
        <v>10599.9125</v>
      </c>
      <c r="I46" s="302">
        <f>F46/$F$177</f>
        <v>9.7042141979106027E-4</v>
      </c>
      <c r="J46" s="303">
        <f>Calculations!AS6</f>
        <v>1637601.8794057348</v>
      </c>
      <c r="K46" s="5">
        <f>E46*1.091947</f>
        <v>207630.44620899999</v>
      </c>
      <c r="L46" s="5">
        <f>J46+K46</f>
        <v>1845232.3256147348</v>
      </c>
      <c r="M46" s="119">
        <v>160</v>
      </c>
      <c r="N46" s="55">
        <f>SUM(L46/M46)</f>
        <v>11532.702035092092</v>
      </c>
      <c r="O46" s="33">
        <f>L46/$L$177</f>
        <v>9.6128207744712081E-4</v>
      </c>
      <c r="P46" s="180">
        <f>SUM(H46*'Front page'!$H$10)+H46</f>
        <v>11129.908125</v>
      </c>
      <c r="Q46" s="180">
        <f>MIN(N46,P46)*M46</f>
        <v>1780785.3</v>
      </c>
      <c r="R46" s="187"/>
      <c r="S46" s="5">
        <f>L46-F46</f>
        <v>149246.32561473479</v>
      </c>
      <c r="T46" s="5" t="str">
        <f>IF(S46&lt;0,S46,"")</f>
        <v/>
      </c>
      <c r="U46" s="5">
        <f>SUM(Q46-F46)</f>
        <v>84799.300000000047</v>
      </c>
      <c r="V46" s="5">
        <f>SUM(Q46-L46)</f>
        <v>-64447.025614734739</v>
      </c>
      <c r="W46" s="52">
        <f>SUM(S46/F46)</f>
        <v>8.7999739157478177E-2</v>
      </c>
      <c r="X46" s="6">
        <f>SUM(F46*$X$1)+F46</f>
        <v>1780785.3</v>
      </c>
      <c r="Y46" s="5">
        <f>MIN(L46,Q46)</f>
        <v>1780785.3</v>
      </c>
      <c r="Z46" s="54">
        <f>SUM(Y46-F46)</f>
        <v>84799.300000000047</v>
      </c>
      <c r="AA46" s="5">
        <f>SUM(Y46-L46)</f>
        <v>-64447.025614734739</v>
      </c>
      <c r="AB46" s="55">
        <f>SUM(F46*'Front page'!$H$11)+F46</f>
        <v>1746865.58</v>
      </c>
      <c r="AC46" s="55">
        <f>MAX(AB46,L46)</f>
        <v>1845232.3256147348</v>
      </c>
      <c r="AD46" s="55">
        <f>MAX(Q46,AB46)</f>
        <v>1780785.3</v>
      </c>
      <c r="AE46" s="55">
        <f>SUM(AC46-F46)</f>
        <v>149246.32561473479</v>
      </c>
      <c r="AF46" s="53">
        <f>SUM(AE46/F46)</f>
        <v>8.7999739157478177E-2</v>
      </c>
      <c r="AG46" s="313">
        <f>SUM(AD46-F46)</f>
        <v>84799.300000000047</v>
      </c>
      <c r="AH46" s="53">
        <f>SUM(AG46/F46)</f>
        <v>5.0000000000000031E-2</v>
      </c>
    </row>
    <row r="47" spans="1:34">
      <c r="A47" t="str">
        <f>RIGHT(C47,3)</f>
        <v>282</v>
      </c>
      <c r="B47">
        <f>A47*1</f>
        <v>282</v>
      </c>
      <c r="C47" s="14" t="s">
        <v>78</v>
      </c>
      <c r="D47" s="299">
        <v>2291006.7299999995</v>
      </c>
      <c r="E47" s="299">
        <v>249781.09</v>
      </c>
      <c r="F47" s="299">
        <f>D47+E47</f>
        <v>2540787.8199999994</v>
      </c>
      <c r="G47" s="300">
        <v>302</v>
      </c>
      <c r="H47" s="301">
        <f>SUM(F47/G47)</f>
        <v>8413.2047019867532</v>
      </c>
      <c r="I47" s="302">
        <f>F47/$F$177</f>
        <v>1.4538061774520734E-3</v>
      </c>
      <c r="J47" s="303">
        <f>Calculations!AS70</f>
        <v>2353037.2113077687</v>
      </c>
      <c r="K47" s="5">
        <f>E47*1.091947</f>
        <v>272747.71188223001</v>
      </c>
      <c r="L47" s="5">
        <f>J47+K47</f>
        <v>2625784.9231899986</v>
      </c>
      <c r="M47" s="119">
        <v>302</v>
      </c>
      <c r="N47" s="55">
        <f>SUM(L47/M47)</f>
        <v>8694.6520635430425</v>
      </c>
      <c r="O47" s="33">
        <f>L47/$L$177</f>
        <v>1.3679144630487144E-3</v>
      </c>
      <c r="P47" s="180">
        <f>SUM(H47*'Front page'!$H$10)+H47</f>
        <v>8833.8649370860912</v>
      </c>
      <c r="Q47" s="180">
        <f>MIN(N47,P47)*M47</f>
        <v>2625784.9231899986</v>
      </c>
      <c r="R47" s="187"/>
      <c r="S47" s="5">
        <f>L47-F47</f>
        <v>84997.103189999238</v>
      </c>
      <c r="T47" s="5" t="str">
        <f>IF(S47&lt;0,S47,"")</f>
        <v/>
      </c>
      <c r="U47" s="5">
        <f>SUM(Q47-F47)</f>
        <v>84997.103189999238</v>
      </c>
      <c r="V47" s="5">
        <f>SUM(Q47-L47)</f>
        <v>0</v>
      </c>
      <c r="W47" s="52">
        <f>SUM(S47/F47)</f>
        <v>3.3453050475501435E-2</v>
      </c>
      <c r="X47" s="6">
        <f>SUM(F47*$X$1)+F47</f>
        <v>2667827.2109999992</v>
      </c>
      <c r="Y47" s="5">
        <f>MIN(L47,Q47)</f>
        <v>2625784.9231899986</v>
      </c>
      <c r="Z47" s="54">
        <f>SUM(Y47-F47)</f>
        <v>84997.103189999238</v>
      </c>
      <c r="AA47" s="5">
        <f>SUM(Y47-L47)</f>
        <v>0</v>
      </c>
      <c r="AB47" s="55">
        <f>SUM(F47*'Front page'!$H$11)+F47</f>
        <v>2617011.4545999994</v>
      </c>
      <c r="AC47" s="55">
        <f>MAX(AB47,L47)</f>
        <v>2625784.9231899986</v>
      </c>
      <c r="AD47" s="55">
        <f>MAX(Q47,AB47)</f>
        <v>2625784.9231899986</v>
      </c>
      <c r="AE47" s="55">
        <f>SUM(AC47-F47)</f>
        <v>84997.103189999238</v>
      </c>
      <c r="AF47" s="53">
        <f>SUM(AE47/F47)</f>
        <v>3.3453050475501435E-2</v>
      </c>
      <c r="AG47" s="313">
        <f>SUM(AD47-F47)</f>
        <v>84997.103189999238</v>
      </c>
      <c r="AH47" s="53">
        <f>SUM(AG47/F47)</f>
        <v>3.3453050475501435E-2</v>
      </c>
    </row>
    <row r="48" spans="1:34">
      <c r="A48" t="str">
        <f>RIGHT(C48,3)</f>
        <v>121</v>
      </c>
      <c r="B48">
        <f>A48*1</f>
        <v>121</v>
      </c>
      <c r="C48" s="14" t="s">
        <v>37</v>
      </c>
      <c r="D48" s="299">
        <v>1572296.6300000001</v>
      </c>
      <c r="E48" s="299">
        <v>156614.87</v>
      </c>
      <c r="F48" s="299">
        <f>D48+E48</f>
        <v>1728911.5</v>
      </c>
      <c r="G48" s="300">
        <v>147</v>
      </c>
      <c r="H48" s="301">
        <f>SUM(F48/G48)</f>
        <v>11761.302721088436</v>
      </c>
      <c r="I48" s="302">
        <f>F48/$F$177</f>
        <v>9.8926096826453262E-4</v>
      </c>
      <c r="J48" s="303">
        <f>Calculations!AS29</f>
        <v>1720918.153228892</v>
      </c>
      <c r="K48" s="5">
        <f>E48*1.091947</f>
        <v>171015.13745188998</v>
      </c>
      <c r="L48" s="5">
        <f>J48+K48</f>
        <v>1891933.2906807819</v>
      </c>
      <c r="M48" s="119">
        <v>147</v>
      </c>
      <c r="N48" s="55">
        <f>SUM(L48/M48)</f>
        <v>12870.294494427088</v>
      </c>
      <c r="O48" s="33">
        <f>L48/$L$177</f>
        <v>9.85611155197544E-4</v>
      </c>
      <c r="P48" s="180">
        <f>SUM(H48*'Front page'!$H$10)+H48</f>
        <v>12349.367857142857</v>
      </c>
      <c r="Q48" s="180">
        <f>MIN(N48,P48)*M48</f>
        <v>1815357.075</v>
      </c>
      <c r="R48" s="187"/>
      <c r="S48" s="5">
        <f>L48-F48</f>
        <v>163021.79068078194</v>
      </c>
      <c r="T48" s="5" t="str">
        <f>IF(S48&lt;0,S48,"")</f>
        <v/>
      </c>
      <c r="U48" s="5">
        <f>SUM(Q48-F48)</f>
        <v>86445.574999999953</v>
      </c>
      <c r="V48" s="5">
        <f>SUM(Q48-L48)</f>
        <v>-76576.215680781985</v>
      </c>
      <c r="W48" s="52">
        <f>SUM(S48/F48)</f>
        <v>9.4291576336198779E-2</v>
      </c>
      <c r="X48" s="6">
        <f>SUM(F48*$X$1)+F48</f>
        <v>1815357.075</v>
      </c>
      <c r="Y48" s="5">
        <f>MIN(L48,Q48)</f>
        <v>1815357.075</v>
      </c>
      <c r="Z48" s="54">
        <f>SUM(Y48-F48)</f>
        <v>86445.574999999953</v>
      </c>
      <c r="AA48" s="5">
        <f>SUM(Y48-L48)</f>
        <v>-76576.215680781985</v>
      </c>
      <c r="AB48" s="55">
        <f>SUM(F48*'Front page'!$H$11)+F48</f>
        <v>1780778.845</v>
      </c>
      <c r="AC48" s="55">
        <f>MAX(AB48,L48)</f>
        <v>1891933.2906807819</v>
      </c>
      <c r="AD48" s="55">
        <f>MAX(Q48,AB48)</f>
        <v>1815357.075</v>
      </c>
      <c r="AE48" s="55">
        <f>SUM(AC48-F48)</f>
        <v>163021.79068078194</v>
      </c>
      <c r="AF48" s="53">
        <f>SUM(AE48/F48)</f>
        <v>9.4291576336198779E-2</v>
      </c>
      <c r="AG48" s="313">
        <f>SUM(AD48-F48)</f>
        <v>86445.574999999953</v>
      </c>
      <c r="AH48" s="53">
        <f>SUM(AG48/F48)</f>
        <v>4.9999999999999975E-2</v>
      </c>
    </row>
    <row r="49" spans="1:34">
      <c r="A49" s="27" t="str">
        <f>RIGHT(C49,3)</f>
        <v>794</v>
      </c>
      <c r="B49" s="27">
        <f>A49*1</f>
        <v>794</v>
      </c>
      <c r="C49" s="15" t="s">
        <v>175</v>
      </c>
      <c r="D49" s="299">
        <v>1619559.24</v>
      </c>
      <c r="E49" s="299">
        <v>144303.95000000001</v>
      </c>
      <c r="F49" s="299">
        <f>D49+E49</f>
        <v>1763863.19</v>
      </c>
      <c r="G49" s="300">
        <v>195</v>
      </c>
      <c r="H49" s="301">
        <f>SUM(F49/G49)</f>
        <v>9045.4522564102554</v>
      </c>
      <c r="I49" s="302">
        <f>F49/$F$177</f>
        <v>1.0092598766481497E-3</v>
      </c>
      <c r="J49" s="303">
        <f>Calculations!AS172</f>
        <v>1769591.8642371558</v>
      </c>
      <c r="K49" s="5">
        <f>E49*1.091947</f>
        <v>157572.26529065002</v>
      </c>
      <c r="L49" s="5">
        <f>J49+K49</f>
        <v>1927164.1295278058</v>
      </c>
      <c r="M49" s="119">
        <v>195</v>
      </c>
      <c r="N49" s="55">
        <f>SUM(L49/M49)</f>
        <v>9882.8929719374664</v>
      </c>
      <c r="O49" s="33">
        <f>L49/$L$177</f>
        <v>1.0039648191166872E-3</v>
      </c>
      <c r="P49" s="180">
        <f>SUM(H49*'Front page'!$H$10)+H49</f>
        <v>9497.7248692307676</v>
      </c>
      <c r="Q49" s="180">
        <f>MIN(N49,P49)*M49</f>
        <v>1852056.3494999998</v>
      </c>
      <c r="R49" s="187"/>
      <c r="S49" s="5">
        <f>L49-F49</f>
        <v>163300.93952780589</v>
      </c>
      <c r="T49" s="5" t="str">
        <f>IF(S49&lt;0,S49,"")</f>
        <v/>
      </c>
      <c r="U49" s="5">
        <f>SUM(Q49-F49)</f>
        <v>88193.159499999834</v>
      </c>
      <c r="V49" s="5">
        <f>SUM(Q49-L49)</f>
        <v>-75107.78002780606</v>
      </c>
      <c r="W49" s="52">
        <f>SUM(S49/F49)</f>
        <v>9.2581409064841302E-2</v>
      </c>
      <c r="X49" s="6">
        <f>SUM(F49*$X$1)+F49</f>
        <v>1852056.3495</v>
      </c>
      <c r="Y49" s="5">
        <f>MIN(L49,Q49)</f>
        <v>1852056.3494999998</v>
      </c>
      <c r="Z49" s="54">
        <f>SUM(Y49-F49)</f>
        <v>88193.159499999834</v>
      </c>
      <c r="AA49" s="5">
        <f>SUM(Y49-L49)</f>
        <v>-75107.78002780606</v>
      </c>
      <c r="AB49" s="55">
        <f>SUM(F49*'Front page'!$H$11)+F49</f>
        <v>1816779.0856999999</v>
      </c>
      <c r="AC49" s="55">
        <f>MAX(AB49,L49)</f>
        <v>1927164.1295278058</v>
      </c>
      <c r="AD49" s="55">
        <f>MAX(Q49,AB49)</f>
        <v>1852056.3494999998</v>
      </c>
      <c r="AE49" s="55">
        <f>SUM(AC49-F49)</f>
        <v>163300.93952780589</v>
      </c>
      <c r="AF49" s="53">
        <f>SUM(AE49/F49)</f>
        <v>9.2581409064841302E-2</v>
      </c>
      <c r="AG49" s="313">
        <f>SUM(AD49-F49)</f>
        <v>88193.159499999834</v>
      </c>
      <c r="AH49" s="53">
        <f>SUM(AG49/F49)</f>
        <v>4.9999999999999906E-2</v>
      </c>
    </row>
    <row r="50" spans="1:34" ht="29.25">
      <c r="A50" s="27" t="str">
        <f>RIGHT(C50,3)</f>
        <v>468</v>
      </c>
      <c r="B50" s="27">
        <f>A50*1</f>
        <v>468</v>
      </c>
      <c r="C50" s="15" t="s">
        <v>141</v>
      </c>
      <c r="D50" s="299">
        <v>1475481.81</v>
      </c>
      <c r="E50" s="299">
        <v>291593.78999999998</v>
      </c>
      <c r="F50" s="299">
        <f>D50+E50</f>
        <v>1767075.6</v>
      </c>
      <c r="G50" s="300">
        <v>219</v>
      </c>
      <c r="H50" s="301">
        <f>SUM(F50/G50)</f>
        <v>8068.8383561643841</v>
      </c>
      <c r="I50" s="302">
        <f>F50/$F$177</f>
        <v>1.0110979764161613E-3</v>
      </c>
      <c r="J50" s="303">
        <f>Calculations!AS133</f>
        <v>2055612.2781185282</v>
      </c>
      <c r="K50" s="5">
        <f>E50*1.091947</f>
        <v>318404.96420912998</v>
      </c>
      <c r="L50" s="5">
        <f>J50+K50</f>
        <v>2374017.242327658</v>
      </c>
      <c r="M50" s="119">
        <v>219</v>
      </c>
      <c r="N50" s="55">
        <f>SUM(L50/M50)</f>
        <v>10840.261380491589</v>
      </c>
      <c r="O50" s="33">
        <f>L50/$L$177</f>
        <v>1.2367549575849424E-3</v>
      </c>
      <c r="P50" s="180">
        <f>SUM(H50*'Front page'!$H$10)+H50</f>
        <v>8472.280273972603</v>
      </c>
      <c r="Q50" s="180">
        <f>MIN(N50,P50)*M50</f>
        <v>1855429.3800000001</v>
      </c>
      <c r="R50" s="187"/>
      <c r="S50" s="5">
        <f>L50-F50</f>
        <v>606941.6423276579</v>
      </c>
      <c r="T50" s="5" t="str">
        <f>IF(S50&lt;0,S50,"")</f>
        <v/>
      </c>
      <c r="U50" s="5">
        <f>SUM(Q50-F50)</f>
        <v>88353.780000000028</v>
      </c>
      <c r="V50" s="5">
        <f>SUM(Q50-L50)</f>
        <v>-518587.86232765787</v>
      </c>
      <c r="W50" s="52">
        <f>SUM(S50/F50)</f>
        <v>0.34347236888317506</v>
      </c>
      <c r="X50" s="6">
        <f>SUM(F50*$X$1)+F50</f>
        <v>1855429.3800000001</v>
      </c>
      <c r="Y50" s="5">
        <f>MIN(L50,Q50)</f>
        <v>1855429.3800000001</v>
      </c>
      <c r="Z50" s="54">
        <f>SUM(Y50-F50)</f>
        <v>88353.780000000028</v>
      </c>
      <c r="AA50" s="5">
        <f>SUM(Y50-L50)</f>
        <v>-518587.86232765787</v>
      </c>
      <c r="AB50" s="55">
        <f>SUM(F50*'Front page'!$H$11)+F50</f>
        <v>1820087.868</v>
      </c>
      <c r="AC50" s="55">
        <f>MAX(AB50,L50)</f>
        <v>2374017.242327658</v>
      </c>
      <c r="AD50" s="55">
        <f>MAX(Q50,AB50)</f>
        <v>1855429.3800000001</v>
      </c>
      <c r="AE50" s="55">
        <f>SUM(AC50-F50)</f>
        <v>606941.6423276579</v>
      </c>
      <c r="AF50" s="53">
        <f>SUM(AE50/F50)</f>
        <v>0.34347236888317506</v>
      </c>
      <c r="AG50" s="313">
        <f>SUM(AD50-F50)</f>
        <v>88353.780000000028</v>
      </c>
      <c r="AH50" s="53">
        <f>SUM(AG50/F50)</f>
        <v>5.000000000000001E-2</v>
      </c>
    </row>
    <row r="51" spans="1:34">
      <c r="A51" t="str">
        <f>RIGHT(C51,3)</f>
        <v>316</v>
      </c>
      <c r="B51">
        <f>A51*1</f>
        <v>316</v>
      </c>
      <c r="C51" s="14" t="s">
        <v>90</v>
      </c>
      <c r="D51" s="299">
        <v>1627561.3599999999</v>
      </c>
      <c r="E51" s="299">
        <v>144430</v>
      </c>
      <c r="F51" s="299">
        <f>D51+E51</f>
        <v>1771991.3599999999</v>
      </c>
      <c r="G51" s="300">
        <v>181.5</v>
      </c>
      <c r="H51" s="301">
        <f>SUM(F51/G51)</f>
        <v>9763.0377961432496</v>
      </c>
      <c r="I51" s="302">
        <f>F51/$F$177</f>
        <v>1.0139107111902408E-3</v>
      </c>
      <c r="J51" s="303">
        <f>Calculations!AS82</f>
        <v>1848416.1862253398</v>
      </c>
      <c r="K51" s="5">
        <f>E51*1.091947</f>
        <v>157709.90521</v>
      </c>
      <c r="L51" s="5">
        <f>J51+K51</f>
        <v>2006126.0914353398</v>
      </c>
      <c r="M51" s="119">
        <v>181.5</v>
      </c>
      <c r="N51" s="55">
        <f>SUM(L51/M51)</f>
        <v>11053.036316448153</v>
      </c>
      <c r="O51" s="33">
        <f>L51/$L$177</f>
        <v>1.0451004082390419E-3</v>
      </c>
      <c r="P51" s="180">
        <f>SUM(H51*'Front page'!$H$10)+H51</f>
        <v>10251.189685950412</v>
      </c>
      <c r="Q51" s="180">
        <f>MIN(N51,P51)*M51</f>
        <v>1860590.9279999998</v>
      </c>
      <c r="R51" s="187"/>
      <c r="S51" s="5">
        <f>L51-F51</f>
        <v>234134.7314353399</v>
      </c>
      <c r="T51" s="5" t="str">
        <f>IF(S51&lt;0,S51,"")</f>
        <v/>
      </c>
      <c r="U51" s="5">
        <f>SUM(Q51-F51)</f>
        <v>88599.56799999997</v>
      </c>
      <c r="V51" s="5">
        <f>SUM(Q51-L51)</f>
        <v>-145535.16343533993</v>
      </c>
      <c r="W51" s="52">
        <f>SUM(S51/F51)</f>
        <v>0.13213085386338447</v>
      </c>
      <c r="X51" s="6">
        <f>SUM(F51*$X$1)+F51</f>
        <v>1860590.9279999998</v>
      </c>
      <c r="Y51" s="5">
        <f>MIN(L51,Q51)</f>
        <v>1860590.9279999998</v>
      </c>
      <c r="Z51" s="54">
        <f>SUM(Y51-F51)</f>
        <v>88599.56799999997</v>
      </c>
      <c r="AA51" s="5">
        <f>SUM(Y51-L51)</f>
        <v>-145535.16343533993</v>
      </c>
      <c r="AB51" s="55">
        <f>SUM(F51*'Front page'!$H$11)+F51</f>
        <v>1825151.1007999999</v>
      </c>
      <c r="AC51" s="55">
        <f>MAX(AB51,L51)</f>
        <v>2006126.0914353398</v>
      </c>
      <c r="AD51" s="55">
        <f>MAX(Q51,AB51)</f>
        <v>1860590.9279999998</v>
      </c>
      <c r="AE51" s="55">
        <f>SUM(AC51-F51)</f>
        <v>234134.7314353399</v>
      </c>
      <c r="AF51" s="53">
        <f>SUM(AE51/F51)</f>
        <v>0.13213085386338447</v>
      </c>
      <c r="AG51" s="313">
        <f>SUM(AD51-F51)</f>
        <v>88599.56799999997</v>
      </c>
      <c r="AH51" s="53">
        <f>SUM(AG51/F51)</f>
        <v>4.9999999999999989E-2</v>
      </c>
    </row>
    <row r="52" spans="1:34">
      <c r="A52" s="27" t="str">
        <f>RIGHT(C52,3)</f>
        <v>751</v>
      </c>
      <c r="B52" s="27">
        <f>A52*1</f>
        <v>751</v>
      </c>
      <c r="C52" s="15" t="s">
        <v>171</v>
      </c>
      <c r="D52" s="299">
        <v>1634015.1099999999</v>
      </c>
      <c r="E52" s="299">
        <v>150942.64000000001</v>
      </c>
      <c r="F52" s="299">
        <f>D52+E52</f>
        <v>1784957.75</v>
      </c>
      <c r="G52" s="300">
        <v>204</v>
      </c>
      <c r="H52" s="301">
        <f>SUM(F52/G52)</f>
        <v>8749.7928921568619</v>
      </c>
      <c r="I52" s="302">
        <f>F52/$F$177</f>
        <v>1.0213299131137028E-3</v>
      </c>
      <c r="J52" s="303">
        <f>Calculations!AS168</f>
        <v>1804223.7122142469</v>
      </c>
      <c r="K52" s="5">
        <f>E52*1.091947</f>
        <v>164821.36292008002</v>
      </c>
      <c r="L52" s="5">
        <f>J52+K52</f>
        <v>1969045.0751343269</v>
      </c>
      <c r="M52" s="119">
        <v>204</v>
      </c>
      <c r="N52" s="55">
        <f>SUM(L52/M52)</f>
        <v>9652.181740854543</v>
      </c>
      <c r="O52" s="33">
        <f>L52/$L$177</f>
        <v>1.0257828860555883E-3</v>
      </c>
      <c r="P52" s="180">
        <f>SUM(H52*'Front page'!$H$10)+H52</f>
        <v>9187.2825367647056</v>
      </c>
      <c r="Q52" s="180">
        <f>MIN(N52,P52)*M52</f>
        <v>1874205.6375</v>
      </c>
      <c r="R52" s="187"/>
      <c r="S52" s="5">
        <f>L52-F52</f>
        <v>184087.32513432694</v>
      </c>
      <c r="T52" s="5" t="str">
        <f>IF(S52&lt;0,S52,"")</f>
        <v/>
      </c>
      <c r="U52" s="5">
        <f>SUM(Q52-F52)</f>
        <v>89247.887499999953</v>
      </c>
      <c r="V52" s="5">
        <f>SUM(Q52-L52)</f>
        <v>-94839.437634326983</v>
      </c>
      <c r="W52" s="52">
        <f>SUM(S52/F52)</f>
        <v>0.10313259523051845</v>
      </c>
      <c r="X52" s="6">
        <f>SUM(F52*$X$1)+F52</f>
        <v>1874205.6375</v>
      </c>
      <c r="Y52" s="5">
        <f>MIN(L52,Q52)</f>
        <v>1874205.6375</v>
      </c>
      <c r="Z52" s="54">
        <f>SUM(Y52-F52)</f>
        <v>89247.887499999953</v>
      </c>
      <c r="AA52" s="5">
        <f>SUM(Y52-L52)</f>
        <v>-94839.437634326983</v>
      </c>
      <c r="AB52" s="55">
        <f>SUM(F52*'Front page'!$H$11)+F52</f>
        <v>1838506.4824999999</v>
      </c>
      <c r="AC52" s="55">
        <f>MAX(AB52,L52)</f>
        <v>1969045.0751343269</v>
      </c>
      <c r="AD52" s="55">
        <f>MAX(Q52,AB52)</f>
        <v>1874205.6375</v>
      </c>
      <c r="AE52" s="55">
        <f>SUM(AC52-F52)</f>
        <v>184087.32513432694</v>
      </c>
      <c r="AF52" s="53">
        <f>SUM(AE52/F52)</f>
        <v>0.10313259523051845</v>
      </c>
      <c r="AG52" s="313">
        <f>SUM(AD52-F52)</f>
        <v>89247.887499999953</v>
      </c>
      <c r="AH52" s="53">
        <f>SUM(AG52/F52)</f>
        <v>4.9999999999999975E-2</v>
      </c>
    </row>
    <row r="53" spans="1:34">
      <c r="A53" s="27" t="str">
        <f>RIGHT(C53,3)</f>
        <v>465</v>
      </c>
      <c r="B53" s="27">
        <f>A53*1</f>
        <v>465</v>
      </c>
      <c r="C53" s="15" t="s">
        <v>139</v>
      </c>
      <c r="D53" s="299">
        <v>1459842</v>
      </c>
      <c r="E53" s="299">
        <v>327657</v>
      </c>
      <c r="F53" s="299">
        <f>D53+E53</f>
        <v>1787499</v>
      </c>
      <c r="G53" s="300">
        <v>217</v>
      </c>
      <c r="H53" s="301">
        <f>SUM(F53/G53)</f>
        <v>8237.322580645161</v>
      </c>
      <c r="I53" s="302">
        <f>F53/$F$177</f>
        <v>1.0227839837446185E-3</v>
      </c>
      <c r="J53" s="303">
        <f>Calculations!AS131</f>
        <v>1845862.1927872454</v>
      </c>
      <c r="K53" s="5">
        <f>E53*1.091947</f>
        <v>357784.078179</v>
      </c>
      <c r="L53" s="5">
        <f>J53+K53</f>
        <v>2203646.2709662453</v>
      </c>
      <c r="M53" s="119">
        <v>217</v>
      </c>
      <c r="N53" s="55">
        <f>SUM(L53/M53)</f>
        <v>10155.051939936615</v>
      </c>
      <c r="O53" s="33">
        <f>L53/$L$177</f>
        <v>1.147999433950583E-3</v>
      </c>
      <c r="P53" s="180">
        <f>SUM(H53*'Front page'!$H$10)+H53</f>
        <v>8649.188709677419</v>
      </c>
      <c r="Q53" s="180">
        <f>MIN(N53,P53)*M53</f>
        <v>1876873.95</v>
      </c>
      <c r="R53" s="187"/>
      <c r="S53" s="5">
        <f>L53-F53</f>
        <v>416147.27096624533</v>
      </c>
      <c r="T53" s="5" t="str">
        <f>IF(S53&lt;0,S53,"")</f>
        <v/>
      </c>
      <c r="U53" s="5">
        <f>SUM(Q53-F53)</f>
        <v>89374.949999999953</v>
      </c>
      <c r="V53" s="5">
        <f>SUM(Q53-L53)</f>
        <v>-326772.32096624537</v>
      </c>
      <c r="W53" s="52">
        <f>SUM(S53/F53)</f>
        <v>0.23280979232225882</v>
      </c>
      <c r="X53" s="6">
        <f>SUM(F53*$X$1)+F53</f>
        <v>1876873.95</v>
      </c>
      <c r="Y53" s="5">
        <f>MIN(L53,Q53)</f>
        <v>1876873.95</v>
      </c>
      <c r="Z53" s="54">
        <f>SUM(Y53-F53)</f>
        <v>89374.949999999953</v>
      </c>
      <c r="AA53" s="5">
        <f>SUM(Y53-L53)</f>
        <v>-326772.32096624537</v>
      </c>
      <c r="AB53" s="55">
        <f>SUM(F53*'Front page'!$H$11)+F53</f>
        <v>1841123.97</v>
      </c>
      <c r="AC53" s="55">
        <f>MAX(AB53,L53)</f>
        <v>2203646.2709662453</v>
      </c>
      <c r="AD53" s="55">
        <f>MAX(Q53,AB53)</f>
        <v>1876873.95</v>
      </c>
      <c r="AE53" s="55">
        <f>SUM(AC53-F53)</f>
        <v>416147.27096624533</v>
      </c>
      <c r="AF53" s="53">
        <f>SUM(AE53/F53)</f>
        <v>0.23280979232225882</v>
      </c>
      <c r="AG53" s="313">
        <f>SUM(AD53-F53)</f>
        <v>89374.949999999953</v>
      </c>
      <c r="AH53" s="53">
        <f>SUM(AG53/F53)</f>
        <v>4.9999999999999975E-2</v>
      </c>
    </row>
    <row r="54" spans="1:34">
      <c r="A54" t="str">
        <f>RIGHT(C54,3)</f>
        <v>422</v>
      </c>
      <c r="B54">
        <f>A54*1</f>
        <v>422</v>
      </c>
      <c r="C54" s="14" t="s">
        <v>122</v>
      </c>
      <c r="D54" s="299">
        <v>1653685.76</v>
      </c>
      <c r="E54" s="299">
        <v>148568.9</v>
      </c>
      <c r="F54" s="299">
        <f>D54+E54</f>
        <v>1802254.66</v>
      </c>
      <c r="G54" s="300">
        <v>220.5</v>
      </c>
      <c r="H54" s="301">
        <f>SUM(F54/G54)</f>
        <v>8173.4905215419494</v>
      </c>
      <c r="I54" s="302">
        <f>F54/$F$177</f>
        <v>1.0312269829952927E-3</v>
      </c>
      <c r="J54" s="303">
        <f>Calculations!AS114</f>
        <v>1904313.4027973805</v>
      </c>
      <c r="K54" s="5">
        <f>E54*1.091947</f>
        <v>162229.36464829999</v>
      </c>
      <c r="L54" s="5">
        <f>J54+K54</f>
        <v>2066542.7674456805</v>
      </c>
      <c r="M54" s="119">
        <v>220.5</v>
      </c>
      <c r="N54" s="55">
        <f>SUM(L54/M54)</f>
        <v>9372.0760428375524</v>
      </c>
      <c r="O54" s="33">
        <f>L54/$L$177</f>
        <v>1.0765747472810494E-3</v>
      </c>
      <c r="P54" s="180">
        <f>SUM(H54*'Front page'!$H$10)+H54</f>
        <v>8582.1650476190462</v>
      </c>
      <c r="Q54" s="180">
        <f>MIN(N54,P54)*M54</f>
        <v>1892367.3929999997</v>
      </c>
      <c r="R54" s="187"/>
      <c r="S54" s="5">
        <f>L54-F54</f>
        <v>264288.10744568054</v>
      </c>
      <c r="T54" s="5" t="str">
        <f>IF(S54&lt;0,S54,"")</f>
        <v/>
      </c>
      <c r="U54" s="5">
        <f>SUM(Q54-F54)</f>
        <v>90112.732999999775</v>
      </c>
      <c r="V54" s="5">
        <f>SUM(Q54-L54)</f>
        <v>-174175.37444568076</v>
      </c>
      <c r="W54" s="52">
        <f>SUM(S54/F54)</f>
        <v>0.14664304291252633</v>
      </c>
      <c r="X54" s="6">
        <f>SUM(F54*$X$1)+F54</f>
        <v>1892367.3929999999</v>
      </c>
      <c r="Y54" s="5">
        <f>MIN(L54,Q54)</f>
        <v>1892367.3929999997</v>
      </c>
      <c r="Z54" s="54">
        <f>SUM(Y54-F54)</f>
        <v>90112.732999999775</v>
      </c>
      <c r="AA54" s="5">
        <f>SUM(Y54-L54)</f>
        <v>-174175.37444568076</v>
      </c>
      <c r="AB54" s="55">
        <f>SUM(F54*'Front page'!$H$11)+F54</f>
        <v>1856322.2997999999</v>
      </c>
      <c r="AC54" s="55">
        <f>MAX(AB54,L54)</f>
        <v>2066542.7674456805</v>
      </c>
      <c r="AD54" s="55">
        <f>MAX(Q54,AB54)</f>
        <v>1892367.3929999997</v>
      </c>
      <c r="AE54" s="55">
        <f>SUM(AC54-F54)</f>
        <v>264288.10744568054</v>
      </c>
      <c r="AF54" s="53">
        <f>SUM(AE54/F54)</f>
        <v>0.14664304291252633</v>
      </c>
      <c r="AG54" s="313">
        <f>SUM(AD54-F54)</f>
        <v>90112.732999999775</v>
      </c>
      <c r="AH54" s="53">
        <f>SUM(AG54/F54)</f>
        <v>4.9999999999999878E-2</v>
      </c>
    </row>
    <row r="55" spans="1:34" s="27" customFormat="1">
      <c r="A55" s="27" t="str">
        <f>RIGHT(C55,3)</f>
        <v>790</v>
      </c>
      <c r="B55" s="27">
        <f>A55*1</f>
        <v>790</v>
      </c>
      <c r="C55" s="15" t="s">
        <v>174</v>
      </c>
      <c r="D55" s="299">
        <v>1617705.19</v>
      </c>
      <c r="E55" s="299">
        <v>195202.66</v>
      </c>
      <c r="F55" s="299">
        <f>D55+E55</f>
        <v>1812907.8499999999</v>
      </c>
      <c r="G55" s="300">
        <v>199</v>
      </c>
      <c r="H55" s="301">
        <f>SUM(F55/G55)</f>
        <v>9110.089698492462</v>
      </c>
      <c r="I55" s="302">
        <f>F55/$F$177</f>
        <v>1.0373226015706252E-3</v>
      </c>
      <c r="J55" s="303">
        <f>Calculations!AS171</f>
        <v>1811217.2553732907</v>
      </c>
      <c r="K55" s="5">
        <f>E55*1.091947</f>
        <v>213150.95897902001</v>
      </c>
      <c r="L55" s="5">
        <f>J55+K55</f>
        <v>2024368.2143523106</v>
      </c>
      <c r="M55" s="119">
        <v>199</v>
      </c>
      <c r="N55" s="55">
        <f>SUM(L55/M55)</f>
        <v>10172.704594735229</v>
      </c>
      <c r="O55" s="33">
        <f>L55/$L$177</f>
        <v>1.0546037242016157E-3</v>
      </c>
      <c r="P55" s="180">
        <f>SUM(H55*'Front page'!$H$10)+H55</f>
        <v>9565.5941834170844</v>
      </c>
      <c r="Q55" s="180">
        <f>MIN(N55,P55)*M55</f>
        <v>1903553.2424999997</v>
      </c>
      <c r="R55" s="187"/>
      <c r="S55" s="5">
        <f>L55-F55</f>
        <v>211460.36435231077</v>
      </c>
      <c r="T55" s="5" t="str">
        <f>IF(S55&lt;0,S55,"")</f>
        <v/>
      </c>
      <c r="U55" s="5">
        <f>SUM(Q55-F55)</f>
        <v>90645.392499999842</v>
      </c>
      <c r="V55" s="5">
        <f>SUM(Q55-L55)</f>
        <v>-120814.97185231093</v>
      </c>
      <c r="W55" s="52">
        <f>SUM(S55/F55)</f>
        <v>0.11664154046898235</v>
      </c>
      <c r="X55" s="6">
        <f>SUM(F55*$X$1)+F55</f>
        <v>1903553.2424999999</v>
      </c>
      <c r="Y55" s="5">
        <f>MIN(L55,Q55)</f>
        <v>1903553.2424999997</v>
      </c>
      <c r="Z55" s="54">
        <f>SUM(Y55-F55)</f>
        <v>90645.392499999842</v>
      </c>
      <c r="AA55" s="5">
        <f>SUM(Y55-L55)</f>
        <v>-120814.97185231093</v>
      </c>
      <c r="AB55" s="55">
        <f>SUM(F55*'Front page'!$H$11)+F55</f>
        <v>1867295.0854999998</v>
      </c>
      <c r="AC55" s="55">
        <f>MAX(AB55,L55)</f>
        <v>2024368.2143523106</v>
      </c>
      <c r="AD55" s="55">
        <f>MAX(Q55,AB55)</f>
        <v>1903553.2424999997</v>
      </c>
      <c r="AE55" s="55">
        <f>SUM(AC55-F55)</f>
        <v>211460.36435231077</v>
      </c>
      <c r="AF55" s="53">
        <f>SUM(AE55/F55)</f>
        <v>0.11664154046898235</v>
      </c>
      <c r="AG55" s="313">
        <f>SUM(AD55-F55)</f>
        <v>90645.392499999842</v>
      </c>
      <c r="AH55" s="53">
        <f>SUM(AG55/F55)</f>
        <v>4.999999999999992E-2</v>
      </c>
    </row>
    <row r="56" spans="1:34">
      <c r="A56" s="27" t="str">
        <f>RIGHT(C56,3)</f>
        <v>305</v>
      </c>
      <c r="B56" s="27">
        <f>A56*1</f>
        <v>305</v>
      </c>
      <c r="C56" s="15" t="s">
        <v>87</v>
      </c>
      <c r="D56" s="299">
        <v>1580739.9899999998</v>
      </c>
      <c r="E56" s="299">
        <v>264624</v>
      </c>
      <c r="F56" s="299">
        <f>D56+E56</f>
        <v>1845363.9899999998</v>
      </c>
      <c r="G56" s="300">
        <v>168</v>
      </c>
      <c r="H56" s="301">
        <f>SUM(F56/G56)</f>
        <v>10984.309464285712</v>
      </c>
      <c r="I56" s="302">
        <f>F56/$F$177</f>
        <v>1.0558935882767286E-3</v>
      </c>
      <c r="J56" s="303">
        <f>Calculations!AS79</f>
        <v>1703368.2036346369</v>
      </c>
      <c r="K56" s="306">
        <f>E56*1.091947</f>
        <v>288955.38292800001</v>
      </c>
      <c r="L56" s="306">
        <f>J56+K56</f>
        <v>1992323.586562637</v>
      </c>
      <c r="M56" s="119">
        <v>168</v>
      </c>
      <c r="N56" s="305">
        <f>SUM(L56/M56)</f>
        <v>11859.068967634745</v>
      </c>
      <c r="O56" s="307">
        <f>L56/$L$177</f>
        <v>1.0379099312601684E-3</v>
      </c>
      <c r="P56" s="308">
        <f>SUM(H56*'Front page'!$H$10)+H56</f>
        <v>11533.524937499998</v>
      </c>
      <c r="Q56" s="308">
        <f>MIN(N56,P56)*M56</f>
        <v>1937632.1894999999</v>
      </c>
      <c r="R56" s="308"/>
      <c r="S56" s="306">
        <f>L56-F56</f>
        <v>146959.59656263725</v>
      </c>
      <c r="T56" s="306" t="str">
        <f>IF(S56&lt;0,S56,"")</f>
        <v/>
      </c>
      <c r="U56" s="306">
        <f>SUM(Q56-F56)</f>
        <v>92268.199500000104</v>
      </c>
      <c r="V56" s="306">
        <f>SUM(Q56-L56)</f>
        <v>-54691.397062637145</v>
      </c>
      <c r="W56" s="309">
        <f>SUM(S56/F56)</f>
        <v>7.9637186679164182E-2</v>
      </c>
      <c r="X56" s="310">
        <f>SUM(F56*$X$1)+F56</f>
        <v>1937632.1894999999</v>
      </c>
      <c r="Y56" s="306">
        <f>MIN(L56,Q56)</f>
        <v>1937632.1894999999</v>
      </c>
      <c r="Z56" s="311">
        <f>SUM(Y56-F56)</f>
        <v>92268.199500000104</v>
      </c>
      <c r="AA56" s="306">
        <f>SUM(Y56-L56)</f>
        <v>-54691.397062637145</v>
      </c>
      <c r="AB56" s="305">
        <f>SUM(F56*'Front page'!$H$11)+F56</f>
        <v>1900724.9096999997</v>
      </c>
      <c r="AC56" s="305">
        <f>MAX(AB56,L56)</f>
        <v>1992323.586562637</v>
      </c>
      <c r="AD56" s="305">
        <f>MAX(Q56,AB56)</f>
        <v>1937632.1894999999</v>
      </c>
      <c r="AE56" s="305">
        <f>SUM(AC56-F56)</f>
        <v>146959.59656263725</v>
      </c>
      <c r="AF56" s="312">
        <f>SUM(AE56/F56)</f>
        <v>7.9637186679164182E-2</v>
      </c>
      <c r="AG56" s="313">
        <f>SUM(AD56-F56)</f>
        <v>92268.199500000104</v>
      </c>
      <c r="AH56" s="312">
        <f>SUM(AG56/F56)</f>
        <v>5.0000000000000065E-2</v>
      </c>
    </row>
    <row r="57" spans="1:34">
      <c r="A57" s="27" t="str">
        <f>RIGHT(C57,3)</f>
        <v>452</v>
      </c>
      <c r="B57" s="27">
        <f>A57*1</f>
        <v>452</v>
      </c>
      <c r="C57" s="15" t="s">
        <v>127</v>
      </c>
      <c r="D57" s="299">
        <v>9836793.8499999996</v>
      </c>
      <c r="E57" s="299">
        <v>1742036</v>
      </c>
      <c r="F57" s="299">
        <f>D57+E57</f>
        <v>11578829.85</v>
      </c>
      <c r="G57" s="300">
        <v>1872.5</v>
      </c>
      <c r="H57" s="301">
        <f>SUM(F57/G57)</f>
        <v>6183.6207476635509</v>
      </c>
      <c r="I57" s="302">
        <f>F57/$F$177</f>
        <v>6.6252578161353388E-3</v>
      </c>
      <c r="J57" s="303">
        <f>Calculations!AS119</f>
        <v>9769707.1604263652</v>
      </c>
      <c r="K57" s="5">
        <f>E57*1.091947</f>
        <v>1902210.9840919999</v>
      </c>
      <c r="L57" s="5">
        <f>J57+K57</f>
        <v>11671918.144518364</v>
      </c>
      <c r="M57" s="119">
        <v>1872.5</v>
      </c>
      <c r="N57" s="55">
        <f>SUM(L57/M57)</f>
        <v>6233.3341225732256</v>
      </c>
      <c r="O57" s="33">
        <f>L57/$L$177</f>
        <v>6.080538242260328E-3</v>
      </c>
      <c r="P57" s="180">
        <f>SUM(H57*'Front page'!$H$10)+H57</f>
        <v>6492.8017850467286</v>
      </c>
      <c r="Q57" s="180">
        <f>MIN(N57,P57)*M57</f>
        <v>11671918.144518364</v>
      </c>
      <c r="R57" s="187"/>
      <c r="S57" s="5">
        <f>L57-F57</f>
        <v>93088.294518364593</v>
      </c>
      <c r="T57" s="5" t="str">
        <f>IF(S57&lt;0,S57,"")</f>
        <v/>
      </c>
      <c r="U57" s="5">
        <f>SUM(Q57-F57)</f>
        <v>93088.294518364593</v>
      </c>
      <c r="V57" s="5">
        <f>SUM(Q57-L57)</f>
        <v>0</v>
      </c>
      <c r="W57" s="52">
        <f>SUM(S57/F57)</f>
        <v>8.0395252131945441E-3</v>
      </c>
      <c r="X57" s="6">
        <f>SUM(F57*$X$1)+F57</f>
        <v>12157771.342499999</v>
      </c>
      <c r="Y57" s="5">
        <f>MIN(L57,Q57)</f>
        <v>11671918.144518364</v>
      </c>
      <c r="Z57" s="54">
        <f>SUM(Y57-F57)</f>
        <v>93088.294518364593</v>
      </c>
      <c r="AA57" s="5">
        <f>SUM(Y57-L57)</f>
        <v>0</v>
      </c>
      <c r="AB57" s="55">
        <f>SUM(F57*'Front page'!$H$11)+F57</f>
        <v>11926194.7455</v>
      </c>
      <c r="AC57" s="55">
        <f>MAX(AB57,L57)</f>
        <v>11926194.7455</v>
      </c>
      <c r="AD57" s="55">
        <f>MAX(Q57,AB57)</f>
        <v>11926194.7455</v>
      </c>
      <c r="AE57" s="55">
        <f>SUM(AC57-F57)</f>
        <v>347364.89550000057</v>
      </c>
      <c r="AF57" s="53">
        <f>SUM(AE57/F57)</f>
        <v>3.0000000000000051E-2</v>
      </c>
      <c r="AG57" s="313">
        <f>SUM(AD57-F57)</f>
        <v>347364.89550000057</v>
      </c>
      <c r="AH57" s="53">
        <f>SUM(AG57/F57)</f>
        <v>3.0000000000000051E-2</v>
      </c>
    </row>
    <row r="58" spans="1:34">
      <c r="A58" s="27" t="str">
        <f>RIGHT(C58,3)</f>
        <v>785</v>
      </c>
      <c r="B58" s="27">
        <f>A58*1</f>
        <v>785</v>
      </c>
      <c r="C58" s="15" t="s">
        <v>173</v>
      </c>
      <c r="D58" s="299">
        <v>1667972.15</v>
      </c>
      <c r="E58" s="299">
        <v>196356.32</v>
      </c>
      <c r="F58" s="299">
        <f>D58+E58</f>
        <v>1864328.47</v>
      </c>
      <c r="G58" s="300">
        <v>193</v>
      </c>
      <c r="H58" s="301">
        <f>SUM(F58/G58)</f>
        <v>9659.7330051813478</v>
      </c>
      <c r="I58" s="302">
        <f>F58/$F$177</f>
        <v>1.0667448203076531E-3</v>
      </c>
      <c r="J58" s="303">
        <f>Calculations!AS170</f>
        <v>1765726.820697146</v>
      </c>
      <c r="K58" s="5">
        <f>E58*1.091947</f>
        <v>214410.69455504001</v>
      </c>
      <c r="L58" s="5">
        <f>J58+K58</f>
        <v>1980137.515252186</v>
      </c>
      <c r="M58" s="119">
        <v>193</v>
      </c>
      <c r="N58" s="55">
        <f>SUM(L58/M58)</f>
        <v>10259.779871772984</v>
      </c>
      <c r="O58" s="33">
        <f>L58/$L$177</f>
        <v>1.0315615426141336E-3</v>
      </c>
      <c r="P58" s="180">
        <f>SUM(H58*'Front page'!$H$10)+H58</f>
        <v>10142.719655440414</v>
      </c>
      <c r="Q58" s="180">
        <f>MIN(N58,P58)*M58</f>
        <v>1957544.8935</v>
      </c>
      <c r="R58" s="187"/>
      <c r="S58" s="5">
        <f>L58-F58</f>
        <v>115809.04525218601</v>
      </c>
      <c r="T58" s="5" t="str">
        <f>IF(S58&lt;0,S58,"")</f>
        <v/>
      </c>
      <c r="U58" s="5">
        <f>SUM(Q58-F58)</f>
        <v>93216.423500000034</v>
      </c>
      <c r="V58" s="5">
        <f>SUM(Q58-L58)</f>
        <v>-22592.62175218598</v>
      </c>
      <c r="W58" s="52">
        <f>SUM(S58/F58)</f>
        <v>6.2118369759265657E-2</v>
      </c>
      <c r="X58" s="6">
        <f>SUM(F58*$X$1)+F58</f>
        <v>1957544.8935</v>
      </c>
      <c r="Y58" s="5">
        <f>MIN(L58,Q58)</f>
        <v>1957544.8935</v>
      </c>
      <c r="Z58" s="54">
        <f>SUM(Y58-F58)</f>
        <v>93216.423500000034</v>
      </c>
      <c r="AA58" s="5">
        <f>SUM(Y58-L58)</f>
        <v>-22592.62175218598</v>
      </c>
      <c r="AB58" s="55">
        <f>SUM(F58*'Front page'!$H$11)+F58</f>
        <v>1920258.3240999999</v>
      </c>
      <c r="AC58" s="55">
        <f>MAX(AB58,L58)</f>
        <v>1980137.515252186</v>
      </c>
      <c r="AD58" s="55">
        <f>MAX(Q58,AB58)</f>
        <v>1957544.8935</v>
      </c>
      <c r="AE58" s="55">
        <f>SUM(AC58-F58)</f>
        <v>115809.04525218601</v>
      </c>
      <c r="AF58" s="53">
        <f>SUM(AE58/F58)</f>
        <v>6.2118369759265657E-2</v>
      </c>
      <c r="AG58" s="313">
        <f>SUM(AD58-F58)</f>
        <v>93216.423500000034</v>
      </c>
      <c r="AH58" s="53">
        <f>SUM(AG58/F58)</f>
        <v>5.0000000000000017E-2</v>
      </c>
    </row>
    <row r="59" spans="1:34">
      <c r="A59" t="str">
        <f>RIGHT(C59,3)</f>
        <v>322</v>
      </c>
      <c r="B59">
        <f>A59*1</f>
        <v>322</v>
      </c>
      <c r="C59" s="14" t="s">
        <v>92</v>
      </c>
      <c r="D59" s="299">
        <v>8637643.1600000001</v>
      </c>
      <c r="E59" s="299">
        <v>1037837.63</v>
      </c>
      <c r="F59" s="299">
        <f>D59+E59</f>
        <v>9675480.790000001</v>
      </c>
      <c r="G59" s="300">
        <v>1571.5</v>
      </c>
      <c r="H59" s="301">
        <f>SUM(F59/G59)</f>
        <v>6156.8442825326129</v>
      </c>
      <c r="I59" s="302">
        <f>F59/$F$177</f>
        <v>5.5361859150918295E-3</v>
      </c>
      <c r="J59" s="303">
        <f>Calculations!AS84</f>
        <v>8635924.4566940069</v>
      </c>
      <c r="K59" s="5">
        <f>E59*1.091947</f>
        <v>1133263.6865656101</v>
      </c>
      <c r="L59" s="5">
        <f>J59+K59</f>
        <v>9769188.1432596166</v>
      </c>
      <c r="M59" s="119">
        <v>1571.5</v>
      </c>
      <c r="N59" s="55">
        <f>SUM(L59/M59)</f>
        <v>6216.4735241868384</v>
      </c>
      <c r="O59" s="33">
        <f>L59/$L$177</f>
        <v>5.0893024921378474E-3</v>
      </c>
      <c r="P59" s="180">
        <f>SUM(H59*'Front page'!$H$10)+H59</f>
        <v>6464.6864966592439</v>
      </c>
      <c r="Q59" s="180">
        <f>MIN(N59,P59)*M59</f>
        <v>9769188.1432596166</v>
      </c>
      <c r="R59" s="187"/>
      <c r="S59" s="5">
        <f>L59-F59</f>
        <v>93707.3532596156</v>
      </c>
      <c r="T59" s="5" t="str">
        <f>IF(S59&lt;0,S59,"")</f>
        <v/>
      </c>
      <c r="U59" s="5">
        <f>SUM(Q59-F59)</f>
        <v>93707.3532596156</v>
      </c>
      <c r="V59" s="5">
        <f>SUM(Q59-L59)</f>
        <v>0</v>
      </c>
      <c r="W59" s="52">
        <f>SUM(S59/F59)</f>
        <v>9.6850332602040744E-3</v>
      </c>
      <c r="X59" s="6">
        <f>SUM(F59*$X$1)+F59</f>
        <v>10159254.829500001</v>
      </c>
      <c r="Y59" s="5">
        <f>MIN(L59,Q59)</f>
        <v>9769188.1432596166</v>
      </c>
      <c r="Z59" s="54">
        <f>SUM(Y59-F59)</f>
        <v>93707.3532596156</v>
      </c>
      <c r="AA59" s="5">
        <f>SUM(Y59-L59)</f>
        <v>0</v>
      </c>
      <c r="AB59" s="55">
        <f>SUM(F59*'Front page'!$H$11)+F59</f>
        <v>9965745.2137000002</v>
      </c>
      <c r="AC59" s="55">
        <f>MAX(AB59,L59)</f>
        <v>9965745.2137000002</v>
      </c>
      <c r="AD59" s="55">
        <f>MAX(Q59,AB59)</f>
        <v>9965745.2137000002</v>
      </c>
      <c r="AE59" s="55">
        <f>SUM(AC59-F59)</f>
        <v>290264.42369999923</v>
      </c>
      <c r="AF59" s="53">
        <f>SUM(AE59/F59)</f>
        <v>2.9999999999999916E-2</v>
      </c>
      <c r="AG59" s="313">
        <f>SUM(AD59-F59)</f>
        <v>290264.42369999923</v>
      </c>
      <c r="AH59" s="53">
        <f>SUM(AG59/F59)</f>
        <v>2.9999999999999916E-2</v>
      </c>
    </row>
    <row r="60" spans="1:34">
      <c r="A60" s="27" t="str">
        <f>RIGHT(C60,3)</f>
        <v>456</v>
      </c>
      <c r="B60" s="27">
        <f>A60*1</f>
        <v>456</v>
      </c>
      <c r="C60" s="15" t="s">
        <v>131</v>
      </c>
      <c r="D60" s="299">
        <v>1575647.72</v>
      </c>
      <c r="E60" s="299">
        <v>336936.53</v>
      </c>
      <c r="F60" s="299">
        <f>D60+E60</f>
        <v>1912584.25</v>
      </c>
      <c r="G60" s="300">
        <v>263</v>
      </c>
      <c r="H60" s="301">
        <f>SUM(F60/G60)</f>
        <v>7272.1834600760458</v>
      </c>
      <c r="I60" s="302">
        <f>F60/$F$177</f>
        <v>1.094356158220068E-3</v>
      </c>
      <c r="J60" s="303">
        <f>Calculations!AS123</f>
        <v>1854727.665475064</v>
      </c>
      <c r="K60" s="5">
        <f>E60*1.091947</f>
        <v>367916.83312391001</v>
      </c>
      <c r="L60" s="5">
        <f>J60+K60</f>
        <v>2222644.4985989742</v>
      </c>
      <c r="M60" s="119">
        <v>263</v>
      </c>
      <c r="N60" s="55">
        <f>SUM(L60/M60)</f>
        <v>8451.1197665360232</v>
      </c>
      <c r="O60" s="33">
        <f>L60/$L$177</f>
        <v>1.1578966460647911E-3</v>
      </c>
      <c r="P60" s="180">
        <f>SUM(H60*'Front page'!$H$10)+H60</f>
        <v>7635.7926330798482</v>
      </c>
      <c r="Q60" s="180">
        <f>MIN(N60,P60)*M60</f>
        <v>2008213.4625000001</v>
      </c>
      <c r="R60" s="187"/>
      <c r="S60" s="5">
        <f>L60-F60</f>
        <v>310060.2485989742</v>
      </c>
      <c r="T60" s="5" t="str">
        <f>IF(S60&lt;0,S60,"")</f>
        <v/>
      </c>
      <c r="U60" s="5">
        <f>SUM(Q60-F60)</f>
        <v>95629.21250000014</v>
      </c>
      <c r="V60" s="5">
        <f>SUM(Q60-L60)</f>
        <v>-214431.03609897406</v>
      </c>
      <c r="W60" s="52">
        <f>SUM(S60/F60)</f>
        <v>0.16211586422871263</v>
      </c>
      <c r="X60" s="6">
        <f>SUM(F60*$X$1)+F60</f>
        <v>2008213.4624999999</v>
      </c>
      <c r="Y60" s="5">
        <f>MIN(L60,Q60)</f>
        <v>2008213.4625000001</v>
      </c>
      <c r="Z60" s="54">
        <f>SUM(Y60-F60)</f>
        <v>95629.21250000014</v>
      </c>
      <c r="AA60" s="5">
        <f>SUM(Y60-L60)</f>
        <v>-214431.03609897406</v>
      </c>
      <c r="AB60" s="55">
        <f>SUM(F60*'Front page'!$H$11)+F60</f>
        <v>1969961.7775000001</v>
      </c>
      <c r="AC60" s="55">
        <f>MAX(AB60,L60)</f>
        <v>2222644.4985989742</v>
      </c>
      <c r="AD60" s="55">
        <f>MAX(Q60,AB60)</f>
        <v>2008213.4625000001</v>
      </c>
      <c r="AE60" s="55">
        <f>SUM(AC60-F60)</f>
        <v>310060.2485989742</v>
      </c>
      <c r="AF60" s="53">
        <f>SUM(AE60/F60)</f>
        <v>0.16211586422871263</v>
      </c>
      <c r="AG60" s="313">
        <f>SUM(AD60-F60)</f>
        <v>95629.21250000014</v>
      </c>
      <c r="AH60" s="53">
        <f>SUM(AG60/F60)</f>
        <v>5.0000000000000072E-2</v>
      </c>
    </row>
    <row r="61" spans="1:34">
      <c r="A61" s="27" t="str">
        <f>RIGHT(C61,3)</f>
        <v>469</v>
      </c>
      <c r="B61" s="27">
        <f>A61*1</f>
        <v>469</v>
      </c>
      <c r="C61" s="15" t="s">
        <v>142</v>
      </c>
      <c r="D61" s="299">
        <v>1773625.17</v>
      </c>
      <c r="E61" s="299">
        <v>146558.71000000002</v>
      </c>
      <c r="F61" s="299">
        <f>D61+E61</f>
        <v>1920183.88</v>
      </c>
      <c r="G61" s="300">
        <v>191</v>
      </c>
      <c r="H61" s="301">
        <f>SUM(F61/G61)</f>
        <v>10053.318743455497</v>
      </c>
      <c r="I61" s="302">
        <f>F61/$F$177</f>
        <v>1.0987045689584154E-3</v>
      </c>
      <c r="J61" s="303">
        <f>Calculations!AS134</f>
        <v>2062171.1474152203</v>
      </c>
      <c r="K61" s="5">
        <f>E61*1.091947</f>
        <v>160034.34370837003</v>
      </c>
      <c r="L61" s="5">
        <f>J61+K61</f>
        <v>2222205.4911235902</v>
      </c>
      <c r="M61" s="119">
        <v>191</v>
      </c>
      <c r="N61" s="55">
        <f>SUM(L61/M61)</f>
        <v>11634.583723160158</v>
      </c>
      <c r="O61" s="33">
        <f>L61/$L$177</f>
        <v>1.1576679431464141E-3</v>
      </c>
      <c r="P61" s="180">
        <f>SUM(H61*'Front page'!$H$10)+H61</f>
        <v>10555.984680628271</v>
      </c>
      <c r="Q61" s="180">
        <f>MIN(N61,P61)*M61</f>
        <v>2016193.0739999998</v>
      </c>
      <c r="R61" s="187"/>
      <c r="S61" s="5">
        <f>L61-F61</f>
        <v>302021.61112359026</v>
      </c>
      <c r="T61" s="5" t="str">
        <f>IF(S61&lt;0,S61,"")</f>
        <v/>
      </c>
      <c r="U61" s="5">
        <f>SUM(Q61-F61)</f>
        <v>96009.193999999901</v>
      </c>
      <c r="V61" s="5">
        <f>SUM(Q61-L61)</f>
        <v>-206012.41712359036</v>
      </c>
      <c r="W61" s="52">
        <f>SUM(S61/F61)</f>
        <v>0.157287858870886</v>
      </c>
      <c r="X61" s="6">
        <f>SUM(F61*$X$1)+F61</f>
        <v>2016193.0739999998</v>
      </c>
      <c r="Y61" s="5">
        <f>MIN(L61,Q61)</f>
        <v>2016193.0739999998</v>
      </c>
      <c r="Z61" s="54">
        <f>SUM(Y61-F61)</f>
        <v>96009.193999999901</v>
      </c>
      <c r="AA61" s="5">
        <f>SUM(Y61-L61)</f>
        <v>-206012.41712359036</v>
      </c>
      <c r="AB61" s="55">
        <f>SUM(F61*'Front page'!$H$11)+F61</f>
        <v>1977789.3964</v>
      </c>
      <c r="AC61" s="55">
        <f>MAX(AB61,L61)</f>
        <v>2222205.4911235902</v>
      </c>
      <c r="AD61" s="55">
        <f>MAX(Q61,AB61)</f>
        <v>2016193.0739999998</v>
      </c>
      <c r="AE61" s="55">
        <f>SUM(AC61-F61)</f>
        <v>302021.61112359026</v>
      </c>
      <c r="AF61" s="53">
        <f>SUM(AE61/F61)</f>
        <v>0.157287858870886</v>
      </c>
      <c r="AG61" s="313">
        <f>SUM(AD61-F61)</f>
        <v>96009.193999999901</v>
      </c>
      <c r="AH61" s="53">
        <f>SUM(AG61/F61)</f>
        <v>4.9999999999999954E-2</v>
      </c>
    </row>
    <row r="62" spans="1:34">
      <c r="A62" s="27" t="str">
        <f>RIGHT(C62,3)</f>
        <v>470</v>
      </c>
      <c r="B62" s="27">
        <f>A62*1</f>
        <v>470</v>
      </c>
      <c r="C62" s="15" t="s">
        <v>143</v>
      </c>
      <c r="D62" s="299">
        <v>1737284.21</v>
      </c>
      <c r="E62" s="299">
        <v>189244.12</v>
      </c>
      <c r="F62" s="299">
        <f>D62+E62</f>
        <v>1926528.33</v>
      </c>
      <c r="G62" s="300">
        <v>231</v>
      </c>
      <c r="H62" s="301">
        <f>SUM(F62/G62)</f>
        <v>8339.9494805194809</v>
      </c>
      <c r="I62" s="302">
        <f>F62/$F$177</f>
        <v>1.1023347818120554E-3</v>
      </c>
      <c r="J62" s="303">
        <f>Calculations!AS135</f>
        <v>2516001.2058835481</v>
      </c>
      <c r="K62" s="5">
        <f>E62*1.091947</f>
        <v>206644.54910164</v>
      </c>
      <c r="L62" s="5">
        <f>J62+K62</f>
        <v>2722645.7549851881</v>
      </c>
      <c r="M62" s="119">
        <v>231</v>
      </c>
      <c r="N62" s="55">
        <f>SUM(L62/M62)</f>
        <v>11786.34525967614</v>
      </c>
      <c r="O62" s="33">
        <f>L62/$L$177</f>
        <v>1.4183745489245222E-3</v>
      </c>
      <c r="P62" s="180">
        <f>SUM(H62*'Front page'!$H$10)+H62</f>
        <v>8756.9469545454558</v>
      </c>
      <c r="Q62" s="180">
        <f>MIN(N62,P62)*M62</f>
        <v>2022854.7465000004</v>
      </c>
      <c r="R62" s="187"/>
      <c r="S62" s="5">
        <f>L62-F62</f>
        <v>796117.42498518806</v>
      </c>
      <c r="T62" s="5" t="str">
        <f>IF(S62&lt;0,S62,"")</f>
        <v/>
      </c>
      <c r="U62" s="5">
        <f>SUM(Q62-F62)</f>
        <v>96326.416500000283</v>
      </c>
      <c r="V62" s="5">
        <f>SUM(Q62-L62)</f>
        <v>-699791.00848518778</v>
      </c>
      <c r="W62" s="52">
        <f>SUM(S62/F62)</f>
        <v>0.41323940716988472</v>
      </c>
      <c r="X62" s="6">
        <f>SUM(F62*$X$1)+F62</f>
        <v>2022854.7465000001</v>
      </c>
      <c r="Y62" s="5">
        <f>MIN(L62,Q62)</f>
        <v>2022854.7465000004</v>
      </c>
      <c r="Z62" s="54">
        <f>SUM(Y62-F62)</f>
        <v>96326.416500000283</v>
      </c>
      <c r="AA62" s="5">
        <f>SUM(Y62-L62)</f>
        <v>-699791.00848518778</v>
      </c>
      <c r="AB62" s="55">
        <f>SUM(F62*'Front page'!$H$11)+F62</f>
        <v>1984324.1799000001</v>
      </c>
      <c r="AC62" s="55">
        <f>MAX(AB62,L62)</f>
        <v>2722645.7549851881</v>
      </c>
      <c r="AD62" s="55">
        <f>MAX(Q62,AB62)</f>
        <v>2022854.7465000004</v>
      </c>
      <c r="AE62" s="55">
        <f>SUM(AC62-F62)</f>
        <v>796117.42498518806</v>
      </c>
      <c r="AF62" s="53">
        <f>SUM(AE62/F62)</f>
        <v>0.41323940716988472</v>
      </c>
      <c r="AG62" s="313">
        <f>SUM(AD62-F62)</f>
        <v>96326.416500000283</v>
      </c>
      <c r="AH62" s="53">
        <f>SUM(AG62/F62)</f>
        <v>5.0000000000000148E-2</v>
      </c>
    </row>
    <row r="63" spans="1:34">
      <c r="A63" t="str">
        <f>RIGHT(C63,3)</f>
        <v>182</v>
      </c>
      <c r="B63">
        <f>A63*1</f>
        <v>182</v>
      </c>
      <c r="C63" s="14" t="s">
        <v>53</v>
      </c>
      <c r="D63" s="299">
        <v>1714213.1600000001</v>
      </c>
      <c r="E63" s="299">
        <v>219779.22</v>
      </c>
      <c r="F63" s="299">
        <f>D63+E63</f>
        <v>1933992.3800000001</v>
      </c>
      <c r="G63" s="300">
        <v>203.5</v>
      </c>
      <c r="H63" s="301">
        <f>SUM(F63/G63)</f>
        <v>9503.6480589680596</v>
      </c>
      <c r="I63" s="302">
        <f>F63/$F$177</f>
        <v>1.1066056154146861E-3</v>
      </c>
      <c r="J63" s="303">
        <f>Calculations!AS45</f>
        <v>1874823.7402755457</v>
      </c>
      <c r="K63" s="5">
        <f>E63*1.091947</f>
        <v>239987.25994133999</v>
      </c>
      <c r="L63" s="5">
        <f>J63+K63</f>
        <v>2114811.0002168859</v>
      </c>
      <c r="M63" s="119">
        <v>203.5</v>
      </c>
      <c r="N63" s="55">
        <f>SUM(L63/M63)</f>
        <v>10392.191647257425</v>
      </c>
      <c r="O63" s="33">
        <f>L63/$L$177</f>
        <v>1.1017203001899751E-3</v>
      </c>
      <c r="P63" s="180">
        <f>SUM(H63*'Front page'!$H$10)+H63</f>
        <v>9978.8304619164628</v>
      </c>
      <c r="Q63" s="180">
        <f>MIN(N63,P63)*M63</f>
        <v>2030691.9990000001</v>
      </c>
      <c r="R63" s="187"/>
      <c r="S63" s="5">
        <f>L63-F63</f>
        <v>180818.62021688581</v>
      </c>
      <c r="T63" s="5" t="str">
        <f>IF(S63&lt;0,S63,"")</f>
        <v/>
      </c>
      <c r="U63" s="5">
        <f>SUM(Q63-F63)</f>
        <v>96699.618999999948</v>
      </c>
      <c r="V63" s="5">
        <f>SUM(Q63-L63)</f>
        <v>-84119.001216885867</v>
      </c>
      <c r="W63" s="52">
        <f>SUM(S63/F63)</f>
        <v>9.3495001369594752E-2</v>
      </c>
      <c r="X63" s="6">
        <f>SUM(F63*$X$1)+F63</f>
        <v>2030691.9990000001</v>
      </c>
      <c r="Y63" s="5">
        <f>MIN(L63,Q63)</f>
        <v>2030691.9990000001</v>
      </c>
      <c r="Z63" s="54">
        <f>SUM(Y63-F63)</f>
        <v>96699.618999999948</v>
      </c>
      <c r="AA63" s="5">
        <f>SUM(Y63-L63)</f>
        <v>-84119.001216885867</v>
      </c>
      <c r="AB63" s="55">
        <f>SUM(F63*'Front page'!$H$11)+F63</f>
        <v>1992012.1514000001</v>
      </c>
      <c r="AC63" s="55">
        <f>MAX(AB63,L63)</f>
        <v>2114811.0002168859</v>
      </c>
      <c r="AD63" s="55">
        <f>MAX(Q63,AB63)</f>
        <v>2030691.9990000001</v>
      </c>
      <c r="AE63" s="55">
        <f>SUM(AC63-F63)</f>
        <v>180818.62021688581</v>
      </c>
      <c r="AF63" s="53">
        <f>SUM(AE63/F63)</f>
        <v>9.3495001369594752E-2</v>
      </c>
      <c r="AG63" s="313">
        <f>SUM(AD63-F63)</f>
        <v>96699.618999999948</v>
      </c>
      <c r="AH63" s="53">
        <f>SUM(AG63/F63)</f>
        <v>4.9999999999999968E-2</v>
      </c>
    </row>
    <row r="64" spans="1:34">
      <c r="A64" t="str">
        <f>RIGHT(C64,3)</f>
        <v>073</v>
      </c>
      <c r="B64">
        <f>A64*1</f>
        <v>73</v>
      </c>
      <c r="C64" s="14" t="s">
        <v>29</v>
      </c>
      <c r="D64" s="299">
        <v>1780701.61</v>
      </c>
      <c r="E64" s="299">
        <v>209237.87</v>
      </c>
      <c r="F64" s="299">
        <f>D64+E64</f>
        <v>1989939.48</v>
      </c>
      <c r="G64" s="300">
        <v>212.5</v>
      </c>
      <c r="H64" s="301">
        <f>SUM(F64/G64)</f>
        <v>9364.4210823529411</v>
      </c>
      <c r="I64" s="302">
        <f>F64/$F$177</f>
        <v>1.13861782790653E-3</v>
      </c>
      <c r="J64" s="303">
        <f>Calculations!AS21</f>
        <v>1977675.5238790149</v>
      </c>
      <c r="K64" s="5">
        <f>E64*1.091947</f>
        <v>228476.66443288999</v>
      </c>
      <c r="L64" s="5">
        <f>J64+K64</f>
        <v>2206152.1883119047</v>
      </c>
      <c r="M64" s="119">
        <v>212.5</v>
      </c>
      <c r="N64" s="55">
        <f>SUM(L64/M64)</f>
        <v>10381.892650879552</v>
      </c>
      <c r="O64" s="33">
        <f>L64/$L$177</f>
        <v>1.149304902860111E-3</v>
      </c>
      <c r="P64" s="180">
        <f>SUM(H64*'Front page'!$H$10)+H64</f>
        <v>9832.6421364705875</v>
      </c>
      <c r="Q64" s="180">
        <f>MIN(N64,P64)*M64</f>
        <v>2089436.4539999999</v>
      </c>
      <c r="R64" s="187"/>
      <c r="S64" s="5">
        <f>L64-F64</f>
        <v>216212.70831190469</v>
      </c>
      <c r="T64" s="5" t="str">
        <f>IF(S64&lt;0,S64,"")</f>
        <v/>
      </c>
      <c r="U64" s="5">
        <f>SUM(Q64-F64)</f>
        <v>99496.973999999929</v>
      </c>
      <c r="V64" s="5">
        <f>SUM(Q64-L64)</f>
        <v>-116715.73431190476</v>
      </c>
      <c r="W64" s="52">
        <f>SUM(S64/F64)</f>
        <v>0.10865290652553146</v>
      </c>
      <c r="X64" s="6">
        <f>SUM(F64*$X$1)+F64</f>
        <v>2089436.4539999999</v>
      </c>
      <c r="Y64" s="5">
        <f>MIN(L64,Q64)</f>
        <v>2089436.4539999999</v>
      </c>
      <c r="Z64" s="54">
        <f>SUM(Y64-F64)</f>
        <v>99496.973999999929</v>
      </c>
      <c r="AA64" s="5">
        <f>SUM(Y64-L64)</f>
        <v>-116715.73431190476</v>
      </c>
      <c r="AB64" s="55">
        <f>SUM(F64*'Front page'!$H$11)+F64</f>
        <v>2049637.6643999999</v>
      </c>
      <c r="AC64" s="55">
        <f>MAX(AB64,L64)</f>
        <v>2206152.1883119047</v>
      </c>
      <c r="AD64" s="55">
        <f>MAX(Q64,AB64)</f>
        <v>2089436.4539999999</v>
      </c>
      <c r="AE64" s="55">
        <f>SUM(AC64-F64)</f>
        <v>216212.70831190469</v>
      </c>
      <c r="AF64" s="53">
        <f>SUM(AE64/F64)</f>
        <v>0.10865290652553146</v>
      </c>
      <c r="AG64" s="313">
        <f>SUM(AD64-F64)</f>
        <v>99496.973999999929</v>
      </c>
      <c r="AH64" s="53">
        <f>SUM(AG64/F64)</f>
        <v>4.9999999999999968E-2</v>
      </c>
    </row>
    <row r="65" spans="1:34">
      <c r="A65" s="27" t="str">
        <f>RIGHT(C65,3)</f>
        <v>478</v>
      </c>
      <c r="B65" s="27">
        <f>A65*1</f>
        <v>478</v>
      </c>
      <c r="C65" s="15" t="s">
        <v>150</v>
      </c>
      <c r="D65" s="299">
        <v>1734553.25</v>
      </c>
      <c r="E65" s="299">
        <v>283268.42000000004</v>
      </c>
      <c r="F65" s="299">
        <f>D65+E65</f>
        <v>2017821.67</v>
      </c>
      <c r="G65" s="300">
        <v>301</v>
      </c>
      <c r="H65" s="301">
        <f>SUM(F65/G65)</f>
        <v>6703.726478405315</v>
      </c>
      <c r="I65" s="302">
        <f>F65/$F$177</f>
        <v>1.1545716591331344E-3</v>
      </c>
      <c r="J65" s="303">
        <f>Calculations!AS142</f>
        <v>2048183.553594827</v>
      </c>
      <c r="K65" s="5">
        <f>E65*1.091947</f>
        <v>309314.10141374002</v>
      </c>
      <c r="L65" s="5">
        <f>J65+K65</f>
        <v>2357497.655008567</v>
      </c>
      <c r="M65" s="119">
        <v>301</v>
      </c>
      <c r="N65" s="55">
        <f>SUM(L65/M65)</f>
        <v>7832.2181229520502</v>
      </c>
      <c r="O65" s="33">
        <f>L65/$L$177</f>
        <v>1.2281490042877746E-3</v>
      </c>
      <c r="P65" s="180">
        <f>SUM(H65*'Front page'!$H$10)+H65</f>
        <v>7038.9128023255807</v>
      </c>
      <c r="Q65" s="180">
        <f>MIN(N65,P65)*M65</f>
        <v>2118712.7534999996</v>
      </c>
      <c r="R65" s="187"/>
      <c r="S65" s="5">
        <f>L65-F65</f>
        <v>339675.98500856711</v>
      </c>
      <c r="T65" s="5" t="str">
        <f>IF(S65&lt;0,S65,"")</f>
        <v/>
      </c>
      <c r="U65" s="5">
        <f>SUM(Q65-F65)</f>
        <v>100891.08349999972</v>
      </c>
      <c r="V65" s="5">
        <f>SUM(Q65-L65)</f>
        <v>-238784.90150856739</v>
      </c>
      <c r="W65" s="52">
        <f>SUM(S65/F65)</f>
        <v>0.16833796071214119</v>
      </c>
      <c r="X65" s="6">
        <f>SUM(F65*$X$1)+F65</f>
        <v>2118712.7535000001</v>
      </c>
      <c r="Y65" s="5">
        <f>MIN(L65,Q65)</f>
        <v>2118712.7534999996</v>
      </c>
      <c r="Z65" s="54">
        <f>SUM(Y65-F65)</f>
        <v>100891.08349999972</v>
      </c>
      <c r="AA65" s="5">
        <f>SUM(Y65-L65)</f>
        <v>-238784.90150856739</v>
      </c>
      <c r="AB65" s="55">
        <f>SUM(F65*'Front page'!$H$11)+F65</f>
        <v>2078356.3200999999</v>
      </c>
      <c r="AC65" s="55">
        <f>MAX(AB65,L65)</f>
        <v>2357497.655008567</v>
      </c>
      <c r="AD65" s="55">
        <f>MAX(Q65,AB65)</f>
        <v>2118712.7534999996</v>
      </c>
      <c r="AE65" s="55">
        <f>SUM(AC65-F65)</f>
        <v>339675.98500856711</v>
      </c>
      <c r="AF65" s="53">
        <f>SUM(AE65/F65)</f>
        <v>0.16833796071214119</v>
      </c>
      <c r="AG65" s="313">
        <f>SUM(AD65-F65)</f>
        <v>100891.08349999972</v>
      </c>
      <c r="AH65" s="53">
        <f>SUM(AG65/F65)</f>
        <v>4.9999999999999864E-2</v>
      </c>
    </row>
    <row r="66" spans="1:34">
      <c r="A66" t="str">
        <f>RIGHT(C66,3)</f>
        <v>314</v>
      </c>
      <c r="B66">
        <f>A66*1</f>
        <v>314</v>
      </c>
      <c r="C66" s="14" t="s">
        <v>89</v>
      </c>
      <c r="D66" s="299">
        <v>1715320.94</v>
      </c>
      <c r="E66" s="299">
        <v>322835.98</v>
      </c>
      <c r="F66" s="299">
        <f>D66+E66</f>
        <v>2038156.92</v>
      </c>
      <c r="G66" s="300">
        <v>200</v>
      </c>
      <c r="H66" s="301">
        <f>SUM(F66/G66)</f>
        <v>10190.784599999999</v>
      </c>
      <c r="I66" s="302">
        <f>F66/$F$177</f>
        <v>1.1662072281630712E-3</v>
      </c>
      <c r="J66" s="303">
        <f>Calculations!AS81</f>
        <v>1862418.6981527291</v>
      </c>
      <c r="K66" s="5">
        <f>E66*1.091947</f>
        <v>352519.77985305997</v>
      </c>
      <c r="L66" s="5">
        <f>J66+K66</f>
        <v>2214938.4780057892</v>
      </c>
      <c r="M66" s="119">
        <v>200</v>
      </c>
      <c r="N66" s="55">
        <f>SUM(L66/M66)</f>
        <v>11074.692390028946</v>
      </c>
      <c r="O66" s="33">
        <f>L66/$L$177</f>
        <v>1.1538821599852676E-3</v>
      </c>
      <c r="P66" s="180">
        <f>SUM(H66*'Front page'!$H$10)+H66</f>
        <v>10700.323829999999</v>
      </c>
      <c r="Q66" s="180">
        <f>MIN(N66,P66)*M66</f>
        <v>2140064.7659999998</v>
      </c>
      <c r="R66" s="187"/>
      <c r="S66" s="5">
        <f>L66-F66</f>
        <v>176781.55800578929</v>
      </c>
      <c r="T66" s="5" t="str">
        <f>IF(S66&lt;0,S66,"")</f>
        <v/>
      </c>
      <c r="U66" s="5">
        <f>SUM(Q66-F66)</f>
        <v>101907.8459999999</v>
      </c>
      <c r="V66" s="5">
        <f>SUM(Q66-L66)</f>
        <v>-74873.712005789392</v>
      </c>
      <c r="W66" s="52">
        <f>SUM(S66/F66)</f>
        <v>8.673598988923252E-2</v>
      </c>
      <c r="X66" s="6">
        <f>SUM(F66*$X$1)+F66</f>
        <v>2140064.7659999998</v>
      </c>
      <c r="Y66" s="5">
        <f>MIN(L66,Q66)</f>
        <v>2140064.7659999998</v>
      </c>
      <c r="Z66" s="54">
        <f>SUM(Y66-F66)</f>
        <v>101907.8459999999</v>
      </c>
      <c r="AA66" s="5">
        <f>SUM(Y66-L66)</f>
        <v>-74873.712005789392</v>
      </c>
      <c r="AB66" s="55">
        <f>SUM(F66*'Front page'!$H$11)+F66</f>
        <v>2099301.6275999998</v>
      </c>
      <c r="AC66" s="55">
        <f>MAX(AB66,L66)</f>
        <v>2214938.4780057892</v>
      </c>
      <c r="AD66" s="55">
        <f>MAX(Q66,AB66)</f>
        <v>2140064.7659999998</v>
      </c>
      <c r="AE66" s="55">
        <f>SUM(AC66-F66)</f>
        <v>176781.55800578929</v>
      </c>
      <c r="AF66" s="53">
        <f>SUM(AE66/F66)</f>
        <v>8.673598988923252E-2</v>
      </c>
      <c r="AG66" s="313">
        <f>SUM(AD66-F66)</f>
        <v>101907.8459999999</v>
      </c>
      <c r="AH66" s="53">
        <f>SUM(AG66/F66)</f>
        <v>4.9999999999999954E-2</v>
      </c>
    </row>
    <row r="67" spans="1:34">
      <c r="A67" s="27" t="str">
        <f>RIGHT(C67,3)</f>
        <v>494</v>
      </c>
      <c r="B67" s="27">
        <f>A67*1</f>
        <v>494</v>
      </c>
      <c r="C67" s="15" t="s">
        <v>165</v>
      </c>
      <c r="D67" s="299">
        <v>1835136.75</v>
      </c>
      <c r="E67" s="299">
        <v>230276</v>
      </c>
      <c r="F67" s="299">
        <f>D67+E67</f>
        <v>2065412.75</v>
      </c>
      <c r="G67" s="300">
        <v>317</v>
      </c>
      <c r="H67" s="301">
        <f>SUM(F67/G67)</f>
        <v>6515.4976340694002</v>
      </c>
      <c r="I67" s="302">
        <f>F67/$F$177</f>
        <v>1.1818026642375339E-3</v>
      </c>
      <c r="J67" s="303">
        <f>Calculations!AS157</f>
        <v>2282947.9488580255</v>
      </c>
      <c r="K67" s="5">
        <f>E67*1.091947</f>
        <v>251449.18737199999</v>
      </c>
      <c r="L67" s="5">
        <f>J67+K67</f>
        <v>2534397.1362300254</v>
      </c>
      <c r="M67" s="119">
        <v>317</v>
      </c>
      <c r="N67" s="55">
        <f>SUM(L67/M67)</f>
        <v>7994.943647413329</v>
      </c>
      <c r="O67" s="33">
        <f>L67/$L$177</f>
        <v>1.3203055844903404E-3</v>
      </c>
      <c r="P67" s="180">
        <f>SUM(H67*'Front page'!$H$10)+H67</f>
        <v>6841.2725157728701</v>
      </c>
      <c r="Q67" s="180">
        <f>MIN(N67,P67)*M67</f>
        <v>2168683.3874999997</v>
      </c>
      <c r="R67" s="187"/>
      <c r="S67" s="5">
        <f>L67-F67</f>
        <v>468984.38623002544</v>
      </c>
      <c r="T67" s="5" t="str">
        <f>IF(S67&lt;0,S67,"")</f>
        <v/>
      </c>
      <c r="U67" s="5">
        <f>SUM(Q67-F67)</f>
        <v>103270.63749999972</v>
      </c>
      <c r="V67" s="5">
        <f>SUM(Q67-L67)</f>
        <v>-365713.74873002572</v>
      </c>
      <c r="W67" s="52">
        <f>SUM(S67/F67)</f>
        <v>0.22706569727044895</v>
      </c>
      <c r="X67" s="6">
        <f>SUM(F67*$X$1)+F67</f>
        <v>2168683.3875000002</v>
      </c>
      <c r="Y67" s="5">
        <f>MIN(L67,Q67)</f>
        <v>2168683.3874999997</v>
      </c>
      <c r="Z67" s="54">
        <f>SUM(Y67-F67)</f>
        <v>103270.63749999972</v>
      </c>
      <c r="AA67" s="5">
        <f>SUM(Y67-L67)</f>
        <v>-365713.74873002572</v>
      </c>
      <c r="AB67" s="55">
        <f>SUM(F67*'Front page'!$H$11)+F67</f>
        <v>2127375.1324999998</v>
      </c>
      <c r="AC67" s="55">
        <f>MAX(AB67,L67)</f>
        <v>2534397.1362300254</v>
      </c>
      <c r="AD67" s="55">
        <f>MAX(Q67,AB67)</f>
        <v>2168683.3874999997</v>
      </c>
      <c r="AE67" s="55">
        <f>SUM(AC67-F67)</f>
        <v>468984.38623002544</v>
      </c>
      <c r="AF67" s="53">
        <f>SUM(AE67/F67)</f>
        <v>0.22706569727044895</v>
      </c>
      <c r="AG67" s="313">
        <f>SUM(AD67-F67)</f>
        <v>103270.63749999972</v>
      </c>
      <c r="AH67" s="53">
        <f>SUM(AG67/F67)</f>
        <v>4.9999999999999864E-2</v>
      </c>
    </row>
    <row r="68" spans="1:34">
      <c r="A68" t="str">
        <f>RIGHT(C68,3)</f>
        <v>283</v>
      </c>
      <c r="B68">
        <f>A68*1</f>
        <v>283</v>
      </c>
      <c r="C68" s="14" t="s">
        <v>79</v>
      </c>
      <c r="D68" s="299">
        <v>1831852.0299999998</v>
      </c>
      <c r="E68" s="299">
        <v>239061.18</v>
      </c>
      <c r="F68" s="299">
        <f>D68+E68</f>
        <v>2070913.2099999997</v>
      </c>
      <c r="G68" s="300">
        <v>222</v>
      </c>
      <c r="H68" s="301">
        <f>SUM(F68/G68)</f>
        <v>9328.4378828828812</v>
      </c>
      <c r="I68" s="302">
        <f>F68/$F$177</f>
        <v>1.1849499568464964E-3</v>
      </c>
      <c r="J68" s="303">
        <f>Calculations!AS71</f>
        <v>1942039.3501333259</v>
      </c>
      <c r="K68" s="5">
        <f>E68*1.091947</f>
        <v>261042.13831745999</v>
      </c>
      <c r="L68" s="5">
        <f>J68+K68</f>
        <v>2203081.4884507861</v>
      </c>
      <c r="M68" s="119">
        <v>222</v>
      </c>
      <c r="N68" s="55">
        <f>SUM(L68/M68)</f>
        <v>9923.7904885170537</v>
      </c>
      <c r="O68" s="33">
        <f>L68/$L$177</f>
        <v>1.1477052079595085E-3</v>
      </c>
      <c r="P68" s="180">
        <f>SUM(H68*'Front page'!$H$10)+H68</f>
        <v>9794.8597770270244</v>
      </c>
      <c r="Q68" s="180">
        <f>MIN(N68,P68)*M68</f>
        <v>2174458.8704999993</v>
      </c>
      <c r="R68" s="187"/>
      <c r="S68" s="5">
        <f>L68-F68</f>
        <v>132168.27845078637</v>
      </c>
      <c r="T68" s="5" t="str">
        <f>IF(S68&lt;0,S68,"")</f>
        <v/>
      </c>
      <c r="U68" s="5">
        <f>SUM(Q68-F68)</f>
        <v>103545.66049999953</v>
      </c>
      <c r="V68" s="5">
        <f>SUM(Q68-L68)</f>
        <v>-28622.617950786836</v>
      </c>
      <c r="W68" s="52">
        <f>SUM(S68/F68)</f>
        <v>6.3821254223776186E-2</v>
      </c>
      <c r="X68" s="6">
        <f>SUM(F68*$X$1)+F68</f>
        <v>2174458.8704999997</v>
      </c>
      <c r="Y68" s="5">
        <f>MIN(L68,Q68)</f>
        <v>2174458.8704999993</v>
      </c>
      <c r="Z68" s="54">
        <f>SUM(Y68-F68)</f>
        <v>103545.66049999953</v>
      </c>
      <c r="AA68" s="5">
        <f>SUM(Y68-L68)</f>
        <v>-28622.617950786836</v>
      </c>
      <c r="AB68" s="55">
        <f>SUM(F68*'Front page'!$H$11)+F68</f>
        <v>2133040.6062999996</v>
      </c>
      <c r="AC68" s="55">
        <f>MAX(AB68,L68)</f>
        <v>2203081.4884507861</v>
      </c>
      <c r="AD68" s="55">
        <f>MAX(Q68,AB68)</f>
        <v>2174458.8704999993</v>
      </c>
      <c r="AE68" s="55">
        <f>SUM(AC68-F68)</f>
        <v>132168.27845078637</v>
      </c>
      <c r="AF68" s="53">
        <f>SUM(AE68/F68)</f>
        <v>6.3821254223776186E-2</v>
      </c>
      <c r="AG68" s="313">
        <f>SUM(AD68-F68)</f>
        <v>103545.66049999953</v>
      </c>
      <c r="AH68" s="53">
        <f>SUM(AG68/F68)</f>
        <v>4.9999999999999781E-2</v>
      </c>
    </row>
    <row r="69" spans="1:34">
      <c r="A69" t="str">
        <f>RIGHT(C69,3)</f>
        <v>013</v>
      </c>
      <c r="B69">
        <f>A69*1</f>
        <v>13</v>
      </c>
      <c r="C69" s="14" t="s">
        <v>15</v>
      </c>
      <c r="D69" s="299">
        <v>1936931.8900000001</v>
      </c>
      <c r="E69" s="299">
        <v>178753.23</v>
      </c>
      <c r="F69" s="299">
        <f>D69+E69</f>
        <v>2115685.12</v>
      </c>
      <c r="G69" s="300">
        <v>251</v>
      </c>
      <c r="H69" s="301">
        <f>SUM(F69/G69)</f>
        <v>8429.0243824701192</v>
      </c>
      <c r="I69" s="302">
        <f>F69/$F$177</f>
        <v>1.2105678690633177E-3</v>
      </c>
      <c r="J69" s="303">
        <f>Calculations!AS7</f>
        <v>2283052.355401217</v>
      </c>
      <c r="K69" s="5">
        <f>E69*1.091947</f>
        <v>195189.05323881001</v>
      </c>
      <c r="L69" s="5">
        <f>J69+K69</f>
        <v>2478241.408640027</v>
      </c>
      <c r="M69" s="119">
        <v>251</v>
      </c>
      <c r="N69" s="55">
        <f>SUM(L69/M69)</f>
        <v>9873.4717475698289</v>
      </c>
      <c r="O69" s="33">
        <f>L69/$L$177</f>
        <v>1.2910510056880291E-3</v>
      </c>
      <c r="P69" s="180">
        <f>SUM(H69*'Front page'!$H$10)+H69</f>
        <v>8850.4756015936255</v>
      </c>
      <c r="Q69" s="180">
        <f>MIN(N69,P69)*M69</f>
        <v>2221469.3760000002</v>
      </c>
      <c r="R69" s="187"/>
      <c r="S69" s="5">
        <f>L69-F69</f>
        <v>362556.28864002693</v>
      </c>
      <c r="T69" s="5" t="str">
        <f>IF(S69&lt;0,S69,"")</f>
        <v/>
      </c>
      <c r="U69" s="5">
        <f>SUM(Q69-F69)</f>
        <v>105784.25600000005</v>
      </c>
      <c r="V69" s="5">
        <f>SUM(Q69-L69)</f>
        <v>-256772.03264002688</v>
      </c>
      <c r="W69" s="52">
        <f>SUM(S69/F69)</f>
        <v>0.17136590185973749</v>
      </c>
      <c r="X69" s="6">
        <f>SUM(F69*$X$1)+F69</f>
        <v>2221469.3760000002</v>
      </c>
      <c r="Y69" s="5">
        <f>MIN(L69,Q69)</f>
        <v>2221469.3760000002</v>
      </c>
      <c r="Z69" s="54">
        <f>SUM(Y69-F69)</f>
        <v>105784.25600000005</v>
      </c>
      <c r="AA69" s="5">
        <f>SUM(Y69-L69)</f>
        <v>-256772.03264002688</v>
      </c>
      <c r="AB69" s="55">
        <f>SUM(F69*'Front page'!$H$11)+F69</f>
        <v>2179155.6736000003</v>
      </c>
      <c r="AC69" s="55">
        <f>MAX(AB69,L69)</f>
        <v>2478241.408640027</v>
      </c>
      <c r="AD69" s="55">
        <f>MAX(Q69,AB69)</f>
        <v>2221469.3760000002</v>
      </c>
      <c r="AE69" s="55">
        <f>SUM(AC69-F69)</f>
        <v>362556.28864002693</v>
      </c>
      <c r="AF69" s="53">
        <f>SUM(AE69/F69)</f>
        <v>0.17136590185973749</v>
      </c>
      <c r="AG69" s="313">
        <f>SUM(AD69-F69)</f>
        <v>105784.25600000005</v>
      </c>
      <c r="AH69" s="53">
        <f>SUM(AG69/F69)</f>
        <v>5.0000000000000024E-2</v>
      </c>
    </row>
    <row r="70" spans="1:34">
      <c r="A70" t="str">
        <f>RIGHT(C70,3)</f>
        <v>287</v>
      </c>
      <c r="B70">
        <f>A70*1</f>
        <v>287</v>
      </c>
      <c r="C70" s="14" t="s">
        <v>81</v>
      </c>
      <c r="D70" s="299">
        <v>1953683.63</v>
      </c>
      <c r="E70" s="299">
        <v>183998.5</v>
      </c>
      <c r="F70" s="299">
        <f>D70+E70</f>
        <v>2137682.13</v>
      </c>
      <c r="G70" s="300">
        <v>257</v>
      </c>
      <c r="H70" s="301">
        <f>SUM(F70/G70)</f>
        <v>8317.8292996108939</v>
      </c>
      <c r="I70" s="302">
        <f>F70/$F$177</f>
        <v>1.2231542758351648E-3</v>
      </c>
      <c r="J70" s="303">
        <f>Calculations!AS73</f>
        <v>2209372.1739281104</v>
      </c>
      <c r="K70" s="5">
        <f>E70*1.091947</f>
        <v>200916.61007950001</v>
      </c>
      <c r="L70" s="5">
        <f>J70+K70</f>
        <v>2410288.7840076103</v>
      </c>
      <c r="M70" s="119">
        <v>257</v>
      </c>
      <c r="N70" s="55">
        <f>SUM(L70/M70)</f>
        <v>9378.5555797961497</v>
      </c>
      <c r="O70" s="33">
        <f>L70/$L$177</f>
        <v>1.2556507803246067E-3</v>
      </c>
      <c r="P70" s="180">
        <f>SUM(H70*'Front page'!$H$10)+H70</f>
        <v>8733.7207645914386</v>
      </c>
      <c r="Q70" s="180">
        <f>MIN(N70,P70)*M70</f>
        <v>2244566.2364999996</v>
      </c>
      <c r="R70" s="187"/>
      <c r="S70" s="5">
        <f>L70-F70</f>
        <v>272606.6540076104</v>
      </c>
      <c r="T70" s="5" t="str">
        <f>IF(S70&lt;0,S70,"")</f>
        <v/>
      </c>
      <c r="U70" s="5">
        <f>SUM(Q70-F70)</f>
        <v>106884.10649999976</v>
      </c>
      <c r="V70" s="5">
        <f>SUM(Q70-L70)</f>
        <v>-165722.54750761064</v>
      </c>
      <c r="W70" s="52">
        <f>SUM(S70/F70)</f>
        <v>0.12752441075400223</v>
      </c>
      <c r="X70" s="6">
        <f>SUM(F70*$X$1)+F70</f>
        <v>2244566.2364999996</v>
      </c>
      <c r="Y70" s="5">
        <f>MIN(L70,Q70)</f>
        <v>2244566.2364999996</v>
      </c>
      <c r="Z70" s="54">
        <f>SUM(Y70-F70)</f>
        <v>106884.10649999976</v>
      </c>
      <c r="AA70" s="5">
        <f>SUM(Y70-L70)</f>
        <v>-165722.54750761064</v>
      </c>
      <c r="AB70" s="55">
        <f>SUM(F70*'Front page'!$H$11)+F70</f>
        <v>2201812.5938999997</v>
      </c>
      <c r="AC70" s="55">
        <f>MAX(AB70,L70)</f>
        <v>2410288.7840076103</v>
      </c>
      <c r="AD70" s="55">
        <f>MAX(Q70,AB70)</f>
        <v>2244566.2364999996</v>
      </c>
      <c r="AE70" s="55">
        <f>SUM(AC70-F70)</f>
        <v>272606.6540076104</v>
      </c>
      <c r="AF70" s="53">
        <f>SUM(AE70/F70)</f>
        <v>0.12752441075400223</v>
      </c>
      <c r="AG70" s="313">
        <f>SUM(AD70-F70)</f>
        <v>106884.10649999976</v>
      </c>
      <c r="AH70" s="53">
        <f>SUM(AG70/F70)</f>
        <v>4.9999999999999892E-2</v>
      </c>
    </row>
    <row r="71" spans="1:34">
      <c r="A71" s="27" t="str">
        <f>RIGHT(C71,3)</f>
        <v>482</v>
      </c>
      <c r="B71" s="27">
        <f>A71*1</f>
        <v>482</v>
      </c>
      <c r="C71" s="15" t="s">
        <v>154</v>
      </c>
      <c r="D71" s="299">
        <v>1906007</v>
      </c>
      <c r="E71" s="299">
        <v>276667</v>
      </c>
      <c r="F71" s="299">
        <f>D71+E71</f>
        <v>2182674</v>
      </c>
      <c r="G71" s="300">
        <v>315.5</v>
      </c>
      <c r="H71" s="301">
        <f>SUM(F71/G71)</f>
        <v>6918.1426307448492</v>
      </c>
      <c r="I71" s="302">
        <f>F71/$F$177</f>
        <v>1.2488980463406141E-3</v>
      </c>
      <c r="J71" s="303">
        <f>Calculations!AS146</f>
        <v>2471507.8375406247</v>
      </c>
      <c r="K71" s="5">
        <f>E71*1.091947</f>
        <v>302105.70064900001</v>
      </c>
      <c r="L71" s="5">
        <f>J71+K71</f>
        <v>2773613.5381896244</v>
      </c>
      <c r="M71" s="119">
        <v>315.5</v>
      </c>
      <c r="N71" s="55">
        <f>SUM(L71/M71)</f>
        <v>8791.1681083664807</v>
      </c>
      <c r="O71" s="33">
        <f>L71/$L$177</f>
        <v>1.4449264447706522E-3</v>
      </c>
      <c r="P71" s="180">
        <f>SUM(H71*'Front page'!$H$10)+H71</f>
        <v>7264.0497622820913</v>
      </c>
      <c r="Q71" s="180">
        <f>MIN(N71,P71)*M71</f>
        <v>2291807.6999999997</v>
      </c>
      <c r="R71" s="187"/>
      <c r="S71" s="5">
        <f>L71-F71</f>
        <v>590939.53818962444</v>
      </c>
      <c r="T71" s="5" t="str">
        <f>IF(S71&lt;0,S71,"")</f>
        <v/>
      </c>
      <c r="U71" s="5">
        <f>SUM(Q71-F71)</f>
        <v>109133.69999999972</v>
      </c>
      <c r="V71" s="5">
        <f>SUM(Q71-L71)</f>
        <v>-481805.83818962472</v>
      </c>
      <c r="W71" s="52">
        <f>SUM(S71/F71)</f>
        <v>0.27074109014430209</v>
      </c>
      <c r="X71" s="6">
        <f>SUM(F71*$X$1)+F71</f>
        <v>2291807.7000000002</v>
      </c>
      <c r="Y71" s="5">
        <f>MIN(L71,Q71)</f>
        <v>2291807.6999999997</v>
      </c>
      <c r="Z71" s="54">
        <f>SUM(Y71-F71)</f>
        <v>109133.69999999972</v>
      </c>
      <c r="AA71" s="5">
        <f>SUM(Y71-L71)</f>
        <v>-481805.83818962472</v>
      </c>
      <c r="AB71" s="55">
        <f>SUM(F71*'Front page'!$H$11)+F71</f>
        <v>2248154.2200000002</v>
      </c>
      <c r="AC71" s="55">
        <f>MAX(AB71,L71)</f>
        <v>2773613.5381896244</v>
      </c>
      <c r="AD71" s="55">
        <f>MAX(Q71,AB71)</f>
        <v>2291807.6999999997</v>
      </c>
      <c r="AE71" s="55">
        <f>SUM(AC71-F71)</f>
        <v>590939.53818962444</v>
      </c>
      <c r="AF71" s="53">
        <f>SUM(AE71/F71)</f>
        <v>0.27074109014430209</v>
      </c>
      <c r="AG71" s="313">
        <f>SUM(AD71-F71)</f>
        <v>109133.69999999972</v>
      </c>
      <c r="AH71" s="53">
        <f>SUM(AG71/F71)</f>
        <v>4.9999999999999871E-2</v>
      </c>
    </row>
    <row r="72" spans="1:34">
      <c r="A72" s="27" t="str">
        <f>RIGHT(C72,3)</f>
        <v>473</v>
      </c>
      <c r="B72" s="27">
        <f>A72*1</f>
        <v>473</v>
      </c>
      <c r="C72" s="15" t="s">
        <v>145</v>
      </c>
      <c r="D72" s="299">
        <v>1907624.61</v>
      </c>
      <c r="E72" s="299">
        <v>276980.99</v>
      </c>
      <c r="F72" s="299">
        <f>D72+E72</f>
        <v>2184605.6</v>
      </c>
      <c r="G72" s="300">
        <v>410.5</v>
      </c>
      <c r="H72" s="301">
        <f>SUM(F72/G72)</f>
        <v>5321.8163215590748</v>
      </c>
      <c r="I72" s="302">
        <f>F72/$F$177</f>
        <v>1.250003283066901E-3</v>
      </c>
      <c r="J72" s="303">
        <f>Calculations!AS137</f>
        <v>2930473.928727915</v>
      </c>
      <c r="K72" s="5">
        <f>E72*1.091947</f>
        <v>302448.56108752999</v>
      </c>
      <c r="L72" s="5">
        <f>J72+K72</f>
        <v>3232922.4898154452</v>
      </c>
      <c r="M72" s="119">
        <v>410.5</v>
      </c>
      <c r="N72" s="55">
        <f>SUM(L72/M72)</f>
        <v>7875.5724477842759</v>
      </c>
      <c r="O72" s="33">
        <f>L72/$L$177</f>
        <v>1.6842055084852091E-3</v>
      </c>
      <c r="P72" s="180">
        <f>SUM(H72*'Front page'!$H$10)+H72</f>
        <v>5587.9071376370284</v>
      </c>
      <c r="Q72" s="180">
        <f>MIN(N72,P72)*M72</f>
        <v>2293835.8800000004</v>
      </c>
      <c r="R72" s="187"/>
      <c r="S72" s="5">
        <f>L72-F72</f>
        <v>1048316.8898154451</v>
      </c>
      <c r="T72" s="5" t="str">
        <f>IF(S72&lt;0,S72,"")</f>
        <v/>
      </c>
      <c r="U72" s="5">
        <f>SUM(Q72-F72)</f>
        <v>109230.28000000026</v>
      </c>
      <c r="V72" s="5">
        <f>SUM(Q72-L72)</f>
        <v>-939086.6098154448</v>
      </c>
      <c r="W72" s="52">
        <f>SUM(S72/F72)</f>
        <v>0.47986551431317626</v>
      </c>
      <c r="X72" s="6">
        <f>SUM(F72*$X$1)+F72</f>
        <v>2293835.88</v>
      </c>
      <c r="Y72" s="5">
        <f>MIN(L72,Q72)</f>
        <v>2293835.8800000004</v>
      </c>
      <c r="Z72" s="54">
        <f>SUM(Y72-F72)</f>
        <v>109230.28000000026</v>
      </c>
      <c r="AA72" s="5">
        <f>SUM(Y72-L72)</f>
        <v>-939086.6098154448</v>
      </c>
      <c r="AB72" s="55">
        <f>SUM(F72*'Front page'!$H$11)+F72</f>
        <v>2250143.7680000002</v>
      </c>
      <c r="AC72" s="55">
        <f>MAX(AB72,L72)</f>
        <v>3232922.4898154452</v>
      </c>
      <c r="AD72" s="55">
        <f>MAX(Q72,AB72)</f>
        <v>2293835.8800000004</v>
      </c>
      <c r="AE72" s="55">
        <f>SUM(AC72-F72)</f>
        <v>1048316.8898154451</v>
      </c>
      <c r="AF72" s="53">
        <f>SUM(AE72/F72)</f>
        <v>0.47986551431317626</v>
      </c>
      <c r="AG72" s="313">
        <f>SUM(AD72-F72)</f>
        <v>109230.28000000026</v>
      </c>
      <c r="AH72" s="53">
        <f>SUM(AG72/F72)</f>
        <v>5.0000000000000114E-2</v>
      </c>
    </row>
    <row r="73" spans="1:34">
      <c r="A73" t="str">
        <f>RIGHT(C73,3)</f>
        <v>071</v>
      </c>
      <c r="B73">
        <f>A73*1</f>
        <v>71</v>
      </c>
      <c r="C73" s="14" t="s">
        <v>27</v>
      </c>
      <c r="D73" s="299">
        <v>1942524.48</v>
      </c>
      <c r="E73" s="299">
        <v>246426.4</v>
      </c>
      <c r="F73" s="299">
        <f>D73+E73</f>
        <v>2188950.88</v>
      </c>
      <c r="G73" s="300">
        <v>242</v>
      </c>
      <c r="H73" s="301">
        <f>SUM(F73/G73)</f>
        <v>9045.2515702479341</v>
      </c>
      <c r="I73" s="302">
        <f>F73/$F$177</f>
        <v>1.2524895965075719E-3</v>
      </c>
      <c r="J73" s="303">
        <f>Calculations!AS19</f>
        <v>2059255.9650859472</v>
      </c>
      <c r="K73" s="5">
        <f>E73*1.091947</f>
        <v>269084.56820079999</v>
      </c>
      <c r="L73" s="5">
        <f>J73+K73</f>
        <v>2328340.5332867471</v>
      </c>
      <c r="M73" s="119">
        <v>242</v>
      </c>
      <c r="N73" s="55">
        <f>SUM(L73/M73)</f>
        <v>9621.2418730857316</v>
      </c>
      <c r="O73" s="33">
        <f>L73/$L$177</f>
        <v>1.2129594706165648E-3</v>
      </c>
      <c r="P73" s="180">
        <f>SUM(H73*'Front page'!$H$10)+H73</f>
        <v>9497.5141487603305</v>
      </c>
      <c r="Q73" s="180">
        <f>MIN(N73,P73)*M73</f>
        <v>2298398.4240000001</v>
      </c>
      <c r="R73" s="187"/>
      <c r="S73" s="5">
        <f>L73-F73</f>
        <v>139389.65328674717</v>
      </c>
      <c r="T73" s="5" t="str">
        <f>IF(S73&lt;0,S73,"")</f>
        <v/>
      </c>
      <c r="U73" s="5">
        <f>SUM(Q73-F73)</f>
        <v>109447.54400000023</v>
      </c>
      <c r="V73" s="5">
        <f>SUM(Q73-L73)</f>
        <v>-29942.109286746942</v>
      </c>
      <c r="W73" s="52">
        <f>SUM(S73/F73)</f>
        <v>6.3678748829095327E-2</v>
      </c>
      <c r="X73" s="6">
        <f>SUM(F73*$X$1)+F73</f>
        <v>2298398.4239999996</v>
      </c>
      <c r="Y73" s="5">
        <f>MIN(L73,Q73)</f>
        <v>2298398.4240000001</v>
      </c>
      <c r="Z73" s="54">
        <f>SUM(Y73-F73)</f>
        <v>109447.54400000023</v>
      </c>
      <c r="AA73" s="5">
        <f>SUM(Y73-L73)</f>
        <v>-29942.109286746942</v>
      </c>
      <c r="AB73" s="55">
        <f>SUM(F73*'Front page'!$H$11)+F73</f>
        <v>2254619.4063999997</v>
      </c>
      <c r="AC73" s="55">
        <f>MAX(AB73,L73)</f>
        <v>2328340.5332867471</v>
      </c>
      <c r="AD73" s="55">
        <f>MAX(Q73,AB73)</f>
        <v>2298398.4240000001</v>
      </c>
      <c r="AE73" s="55">
        <f>SUM(AC73-F73)</f>
        <v>139389.65328674717</v>
      </c>
      <c r="AF73" s="53">
        <f>SUM(AE73/F73)</f>
        <v>6.3678748829095327E-2</v>
      </c>
      <c r="AG73" s="313">
        <f>SUM(AD73-F73)</f>
        <v>109447.54400000023</v>
      </c>
      <c r="AH73" s="53">
        <f>SUM(AG73/F73)</f>
        <v>5.0000000000000107E-2</v>
      </c>
    </row>
    <row r="74" spans="1:34">
      <c r="A74" t="str">
        <f>RIGHT(C74,3)</f>
        <v>288</v>
      </c>
      <c r="B74">
        <f>A74*1</f>
        <v>288</v>
      </c>
      <c r="C74" s="14" t="s">
        <v>82</v>
      </c>
      <c r="D74" s="299">
        <v>1960641.96</v>
      </c>
      <c r="E74" s="299">
        <v>261096.54</v>
      </c>
      <c r="F74" s="299">
        <f>D74+E74</f>
        <v>2221738.5</v>
      </c>
      <c r="G74" s="300">
        <v>225</v>
      </c>
      <c r="H74" s="301">
        <f>SUM(F74/G74)</f>
        <v>9874.3933333333334</v>
      </c>
      <c r="I74" s="302">
        <f>F74/$F$177</f>
        <v>1.2712502518148502E-3</v>
      </c>
      <c r="J74" s="303">
        <f>Calculations!AS74</f>
        <v>2287749.1135662999</v>
      </c>
      <c r="K74" s="5">
        <f>E74*1.091947</f>
        <v>285103.58356338</v>
      </c>
      <c r="L74" s="5">
        <f>J74+K74</f>
        <v>2572852.6971296798</v>
      </c>
      <c r="M74" s="119">
        <v>225</v>
      </c>
      <c r="N74" s="55">
        <f>SUM(L74/M74)</f>
        <v>11434.900876131911</v>
      </c>
      <c r="O74" s="33">
        <f>L74/$L$177</f>
        <v>1.3403391818633426E-3</v>
      </c>
      <c r="P74" s="180">
        <f>SUM(H74*'Front page'!$H$10)+H74</f>
        <v>10368.112999999999</v>
      </c>
      <c r="Q74" s="180">
        <f>MIN(N74,P74)*M74</f>
        <v>2332825.4249999998</v>
      </c>
      <c r="R74" s="187"/>
      <c r="S74" s="5">
        <f>L74-F74</f>
        <v>351114.19712967984</v>
      </c>
      <c r="T74" s="5" t="str">
        <f>IF(S74&lt;0,S74,"")</f>
        <v/>
      </c>
      <c r="U74" s="5">
        <f>SUM(Q74-F74)</f>
        <v>111086.92499999981</v>
      </c>
      <c r="V74" s="5">
        <f>SUM(Q74-L74)</f>
        <v>-240027.27212968003</v>
      </c>
      <c r="W74" s="52">
        <f>SUM(S74/F74)</f>
        <v>0.15803578914875888</v>
      </c>
      <c r="X74" s="6">
        <f>SUM(F74*$X$1)+F74</f>
        <v>2332825.4249999998</v>
      </c>
      <c r="Y74" s="5">
        <f>MIN(L74,Q74)</f>
        <v>2332825.4249999998</v>
      </c>
      <c r="Z74" s="54">
        <f>SUM(Y74-F74)</f>
        <v>111086.92499999981</v>
      </c>
      <c r="AA74" s="5">
        <f>SUM(Y74-L74)</f>
        <v>-240027.27212968003</v>
      </c>
      <c r="AB74" s="55">
        <f>SUM(F74*'Front page'!$H$11)+F74</f>
        <v>2288390.6549999998</v>
      </c>
      <c r="AC74" s="55">
        <f>MAX(AB74,L74)</f>
        <v>2572852.6971296798</v>
      </c>
      <c r="AD74" s="55">
        <f>MAX(Q74,AB74)</f>
        <v>2332825.4249999998</v>
      </c>
      <c r="AE74" s="55">
        <f>SUM(AC74-F74)</f>
        <v>351114.19712967984</v>
      </c>
      <c r="AF74" s="53">
        <f>SUM(AE74/F74)</f>
        <v>0.15803578914875888</v>
      </c>
      <c r="AG74" s="313">
        <f>SUM(AD74-F74)</f>
        <v>111086.92499999981</v>
      </c>
      <c r="AH74" s="53">
        <f>SUM(AG74/F74)</f>
        <v>4.999999999999992E-2</v>
      </c>
    </row>
    <row r="75" spans="1:34">
      <c r="A75" s="27" t="str">
        <f>RIGHT(C75,3)</f>
        <v>492</v>
      </c>
      <c r="B75" s="27">
        <f>A75*1</f>
        <v>492</v>
      </c>
      <c r="C75" s="15" t="s">
        <v>163</v>
      </c>
      <c r="D75" s="299">
        <v>2029839.62</v>
      </c>
      <c r="E75" s="299">
        <v>250678.29</v>
      </c>
      <c r="F75" s="299">
        <f>D75+E75</f>
        <v>2280517.91</v>
      </c>
      <c r="G75" s="300">
        <v>351</v>
      </c>
      <c r="H75" s="301">
        <f>SUM(F75/G75)</f>
        <v>6497.2020227920229</v>
      </c>
      <c r="I75" s="302">
        <f>F75/$F$177</f>
        <v>1.3048830757336097E-3</v>
      </c>
      <c r="J75" s="303">
        <f>Calculations!AS155</f>
        <v>2497109.4650364784</v>
      </c>
      <c r="K75" s="5">
        <f>E75*1.091947</f>
        <v>273727.40673063003</v>
      </c>
      <c r="L75" s="5">
        <f>J75+K75</f>
        <v>2770836.8717671083</v>
      </c>
      <c r="M75" s="119">
        <v>351</v>
      </c>
      <c r="N75" s="55">
        <f>SUM(L75/M75)</f>
        <v>7894.1221417866336</v>
      </c>
      <c r="O75" s="33">
        <f>L75/$L$177</f>
        <v>1.4434799279120639E-3</v>
      </c>
      <c r="P75" s="180">
        <f>SUM(H75*'Front page'!$H$10)+H75</f>
        <v>6822.0621239316242</v>
      </c>
      <c r="Q75" s="180">
        <f>MIN(N75,P75)*M75</f>
        <v>2394543.8055000002</v>
      </c>
      <c r="R75" s="187"/>
      <c r="S75" s="5">
        <f>L75-F75</f>
        <v>490318.96176710818</v>
      </c>
      <c r="T75" s="5" t="str">
        <f>IF(S75&lt;0,S75,"")</f>
        <v/>
      </c>
      <c r="U75" s="5">
        <f>SUM(Q75-F75)</f>
        <v>114025.8955000001</v>
      </c>
      <c r="V75" s="5">
        <f>SUM(Q75-L75)</f>
        <v>-376293.06626710808</v>
      </c>
      <c r="W75" s="52">
        <f>SUM(S75/F75)</f>
        <v>0.21500333745114422</v>
      </c>
      <c r="X75" s="6">
        <f>SUM(F75*$X$1)+F75</f>
        <v>2394543.8055000002</v>
      </c>
      <c r="Y75" s="5">
        <f>MIN(L75,Q75)</f>
        <v>2394543.8055000002</v>
      </c>
      <c r="Z75" s="54">
        <f>SUM(Y75-F75)</f>
        <v>114025.8955000001</v>
      </c>
      <c r="AA75" s="5">
        <f>SUM(Y75-L75)</f>
        <v>-376293.06626710808</v>
      </c>
      <c r="AB75" s="55">
        <f>SUM(F75*'Front page'!$H$11)+F75</f>
        <v>2348933.4473000001</v>
      </c>
      <c r="AC75" s="55">
        <f>MAX(AB75,L75)</f>
        <v>2770836.8717671083</v>
      </c>
      <c r="AD75" s="55">
        <f>MAX(Q75,AB75)</f>
        <v>2394543.8055000002</v>
      </c>
      <c r="AE75" s="55">
        <f>SUM(AC75-F75)</f>
        <v>490318.96176710818</v>
      </c>
      <c r="AF75" s="53">
        <f>SUM(AE75/F75)</f>
        <v>0.21500333745114422</v>
      </c>
      <c r="AG75" s="313">
        <f>SUM(AD75-F75)</f>
        <v>114025.8955000001</v>
      </c>
      <c r="AH75" s="53">
        <f>SUM(AG75/F75)</f>
        <v>5.0000000000000037E-2</v>
      </c>
    </row>
    <row r="76" spans="1:34">
      <c r="A76" t="str">
        <f>RIGHT(C76,3)</f>
        <v>242</v>
      </c>
      <c r="B76">
        <f>A76*1</f>
        <v>242</v>
      </c>
      <c r="C76" s="14" t="s">
        <v>65</v>
      </c>
      <c r="D76" s="299">
        <v>2752242.7399999998</v>
      </c>
      <c r="E76" s="299">
        <v>298155.33</v>
      </c>
      <c r="F76" s="299">
        <f>D76+E76</f>
        <v>3050398.07</v>
      </c>
      <c r="G76" s="300">
        <v>385</v>
      </c>
      <c r="H76" s="301">
        <f>SUM(F76/G76)</f>
        <v>7923.1118701298701</v>
      </c>
      <c r="I76" s="302">
        <f>F76/$F$177</f>
        <v>1.7453986212252401E-3</v>
      </c>
      <c r="J76" s="303">
        <f>Calculations!AS57</f>
        <v>2839390.9506418388</v>
      </c>
      <c r="K76" s="5">
        <f>E76*1.091947</f>
        <v>325569.81812751002</v>
      </c>
      <c r="L76" s="5">
        <f>J76+K76</f>
        <v>3164960.768769349</v>
      </c>
      <c r="M76" s="119">
        <v>385</v>
      </c>
      <c r="N76" s="55">
        <f>SUM(L76/M76)</f>
        <v>8220.6773214788282</v>
      </c>
      <c r="O76" s="33">
        <f>L76/$L$177</f>
        <v>1.6488005443041766E-3</v>
      </c>
      <c r="P76" s="180">
        <f>SUM(H76*'Front page'!$H$10)+H76</f>
        <v>8319.2674636363645</v>
      </c>
      <c r="Q76" s="180">
        <f>MIN(N76,P76)*M76</f>
        <v>3164960.768769349</v>
      </c>
      <c r="R76" s="187"/>
      <c r="S76" s="5">
        <f>L76-F76</f>
        <v>114562.69876934914</v>
      </c>
      <c r="T76" s="5" t="str">
        <f>IF(S76&lt;0,S76,"")</f>
        <v/>
      </c>
      <c r="U76" s="5">
        <f>SUM(Q76-F76)</f>
        <v>114562.69876934914</v>
      </c>
      <c r="V76" s="5">
        <f>SUM(Q76-L76)</f>
        <v>0</v>
      </c>
      <c r="W76" s="52">
        <f>SUM(S76/F76)</f>
        <v>3.7556638884625689E-2</v>
      </c>
      <c r="X76" s="6">
        <f>SUM(F76*$X$1)+F76</f>
        <v>3202917.9734999998</v>
      </c>
      <c r="Y76" s="5">
        <f>MIN(L76,Q76)</f>
        <v>3164960.768769349</v>
      </c>
      <c r="Z76" s="54">
        <f>SUM(Y76-F76)</f>
        <v>114562.69876934914</v>
      </c>
      <c r="AA76" s="129">
        <f>SUM(Y76-L76)</f>
        <v>0</v>
      </c>
      <c r="AB76" s="55">
        <f>SUM(F76*'Front page'!$H$11)+F76</f>
        <v>3141910.0120999999</v>
      </c>
      <c r="AC76" s="55">
        <f>MAX(AB76,L76)</f>
        <v>3164960.768769349</v>
      </c>
      <c r="AD76" s="55">
        <f>MAX(Q76,AB76)</f>
        <v>3164960.768769349</v>
      </c>
      <c r="AE76" s="55">
        <f>SUM(AC76-F76)</f>
        <v>114562.69876934914</v>
      </c>
      <c r="AF76" s="53">
        <f>SUM(AE76/F76)</f>
        <v>3.7556638884625689E-2</v>
      </c>
      <c r="AG76" s="313">
        <f>SUM(AD76-F76)</f>
        <v>114562.69876934914</v>
      </c>
      <c r="AH76" s="53">
        <f>SUM(AG76/F76)</f>
        <v>3.7556638884625689E-2</v>
      </c>
    </row>
    <row r="77" spans="1:34">
      <c r="A77" s="27" t="str">
        <f>RIGHT(C77,3)</f>
        <v>495</v>
      </c>
      <c r="B77" s="27">
        <f>A77*1</f>
        <v>495</v>
      </c>
      <c r="C77" s="15" t="s">
        <v>166</v>
      </c>
      <c r="D77" s="299">
        <v>1954000.74</v>
      </c>
      <c r="E77" s="299">
        <v>362128.69</v>
      </c>
      <c r="F77" s="299">
        <f>D77+E77</f>
        <v>2316129.4300000002</v>
      </c>
      <c r="G77" s="300">
        <v>385.5</v>
      </c>
      <c r="H77" s="301">
        <f>SUM(F77/G77)</f>
        <v>6008.117846952011</v>
      </c>
      <c r="I77" s="302">
        <f>F77/$F$177</f>
        <v>1.3252595303737528E-3</v>
      </c>
      <c r="J77" s="303">
        <f>Calculations!AS158</f>
        <v>2761016.2431538692</v>
      </c>
      <c r="K77" s="5">
        <f>E77*1.091947</f>
        <v>395425.33665943</v>
      </c>
      <c r="L77" s="5">
        <f>J77+K77</f>
        <v>3156441.5798132992</v>
      </c>
      <c r="M77" s="119">
        <v>385.5</v>
      </c>
      <c r="N77" s="55">
        <f>SUM(L77/M77)</f>
        <v>8187.9159009424102</v>
      </c>
      <c r="O77" s="33">
        <f>L77/$L$177</f>
        <v>1.6443624345094613E-3</v>
      </c>
      <c r="P77" s="180">
        <f>SUM(H77*'Front page'!$H$10)+H77</f>
        <v>6308.5237392996114</v>
      </c>
      <c r="Q77" s="180">
        <f>MIN(N77,P77)*M77</f>
        <v>2431935.9015000002</v>
      </c>
      <c r="R77" s="187"/>
      <c r="S77" s="5">
        <f>L77-F77</f>
        <v>840312.14981329907</v>
      </c>
      <c r="T77" s="5" t="str">
        <f>IF(S77&lt;0,S77,"")</f>
        <v/>
      </c>
      <c r="U77" s="5">
        <f>SUM(Q77-F77)</f>
        <v>115806.47149999999</v>
      </c>
      <c r="V77" s="5">
        <f>SUM(Q77-L77)</f>
        <v>-724505.67831329908</v>
      </c>
      <c r="W77" s="52">
        <f>SUM(S77/F77)</f>
        <v>0.36280880460695974</v>
      </c>
      <c r="X77" s="6">
        <f>SUM(F77*$X$1)+F77</f>
        <v>2431935.9015000002</v>
      </c>
      <c r="Y77" s="5">
        <f>MIN(L77,Q77)</f>
        <v>2431935.9015000002</v>
      </c>
      <c r="Z77" s="54">
        <f>SUM(Y77-F77)</f>
        <v>115806.47149999999</v>
      </c>
      <c r="AA77" s="5">
        <f>SUM(Y77-L77)</f>
        <v>-724505.67831329908</v>
      </c>
      <c r="AB77" s="55">
        <f>SUM(F77*'Front page'!$H$11)+F77</f>
        <v>2385613.3129000003</v>
      </c>
      <c r="AC77" s="55">
        <f>MAX(AB77,L77)</f>
        <v>3156441.5798132992</v>
      </c>
      <c r="AD77" s="55">
        <f>MAX(Q77,AB77)</f>
        <v>2431935.9015000002</v>
      </c>
      <c r="AE77" s="55">
        <f>SUM(AC77-F77)</f>
        <v>840312.14981329907</v>
      </c>
      <c r="AF77" s="53">
        <f>SUM(AE77/F77)</f>
        <v>0.36280880460695974</v>
      </c>
      <c r="AG77" s="313">
        <f>SUM(AD77-F77)</f>
        <v>115806.47149999999</v>
      </c>
      <c r="AH77" s="53">
        <f>SUM(AG77/F77)</f>
        <v>4.9999999999999989E-2</v>
      </c>
    </row>
    <row r="78" spans="1:34">
      <c r="A78" t="str">
        <f>RIGHT(C78,3)</f>
        <v>417</v>
      </c>
      <c r="B78">
        <f>A78*1</f>
        <v>417</v>
      </c>
      <c r="C78" s="14" t="s">
        <v>119</v>
      </c>
      <c r="D78" s="299">
        <v>2196323.8499999996</v>
      </c>
      <c r="E78" s="299">
        <v>221521.81</v>
      </c>
      <c r="F78" s="299">
        <f>D78+E78</f>
        <v>2417845.6599999997</v>
      </c>
      <c r="G78" s="300">
        <v>295</v>
      </c>
      <c r="H78" s="301">
        <f>SUM(F78/G78)</f>
        <v>8196.0869830508473</v>
      </c>
      <c r="I78" s="302">
        <f>F78/$F$177</f>
        <v>1.3834602515662587E-3</v>
      </c>
      <c r="J78" s="303">
        <f>Calculations!AS111</f>
        <v>2718437.9951345869</v>
      </c>
      <c r="K78" s="5">
        <f>E78*1.091947</f>
        <v>241890.07586407001</v>
      </c>
      <c r="L78" s="5">
        <f>J78+K78</f>
        <v>2960328.070998657</v>
      </c>
      <c r="M78" s="119">
        <v>295</v>
      </c>
      <c r="N78" s="55">
        <f>SUM(L78/M78)</f>
        <v>10035.010410164939</v>
      </c>
      <c r="O78" s="33">
        <f>L78/$L$177</f>
        <v>1.5421962202329048E-3</v>
      </c>
      <c r="P78" s="180">
        <f>SUM(H78*'Front page'!$H$10)+H78</f>
        <v>8605.8913322033895</v>
      </c>
      <c r="Q78" s="180">
        <f>MIN(N78,P78)*M78</f>
        <v>2538737.943</v>
      </c>
      <c r="R78" s="187"/>
      <c r="S78" s="5">
        <f>L78-F78</f>
        <v>542482.41099865735</v>
      </c>
      <c r="T78" s="5" t="str">
        <f>IF(S78&lt;0,S78,"")</f>
        <v/>
      </c>
      <c r="U78" s="5">
        <f>SUM(Q78-F78)</f>
        <v>120892.28300000029</v>
      </c>
      <c r="V78" s="5">
        <f>SUM(Q78-L78)</f>
        <v>-421590.12799865706</v>
      </c>
      <c r="W78" s="52">
        <f>SUM(S78/F78)</f>
        <v>0.22436602136079167</v>
      </c>
      <c r="X78" s="6">
        <f>SUM(F78*$X$1)+F78</f>
        <v>2538737.9429999995</v>
      </c>
      <c r="Y78" s="5">
        <f>MIN(L78,Q78)</f>
        <v>2538737.943</v>
      </c>
      <c r="Z78" s="54">
        <f>SUM(Y78-F78)</f>
        <v>120892.28300000029</v>
      </c>
      <c r="AA78" s="5">
        <f>SUM(Y78-L78)</f>
        <v>-421590.12799865706</v>
      </c>
      <c r="AB78" s="55">
        <f>SUM(F78*'Front page'!$H$11)+F78</f>
        <v>2490381.0297999997</v>
      </c>
      <c r="AC78" s="55">
        <f>MAX(AB78,L78)</f>
        <v>2960328.070998657</v>
      </c>
      <c r="AD78" s="55">
        <f>MAX(Q78,AB78)</f>
        <v>2538737.943</v>
      </c>
      <c r="AE78" s="55">
        <f>SUM(AC78-F78)</f>
        <v>542482.41099865735</v>
      </c>
      <c r="AF78" s="53">
        <f>SUM(AE78/F78)</f>
        <v>0.22436602136079167</v>
      </c>
      <c r="AG78" s="313">
        <f>SUM(AD78-F78)</f>
        <v>120892.28300000029</v>
      </c>
      <c r="AH78" s="53">
        <f>SUM(AG78/F78)</f>
        <v>5.0000000000000128E-2</v>
      </c>
    </row>
    <row r="79" spans="1:34">
      <c r="A79" t="str">
        <f>RIGHT(C79,3)</f>
        <v>415</v>
      </c>
      <c r="B79">
        <f>A79*1</f>
        <v>415</v>
      </c>
      <c r="C79" s="14" t="s">
        <v>117</v>
      </c>
      <c r="D79" s="299">
        <v>2200688.1399999997</v>
      </c>
      <c r="E79" s="299">
        <v>271024.90000000002</v>
      </c>
      <c r="F79" s="299">
        <f>D79+E79</f>
        <v>2471713.0399999996</v>
      </c>
      <c r="G79" s="300">
        <v>314</v>
      </c>
      <c r="H79" s="301">
        <f>SUM(F79/G79)</f>
        <v>7871.6975796178331</v>
      </c>
      <c r="I79" s="302">
        <f>F79/$F$177</f>
        <v>1.4142824749690608E-3</v>
      </c>
      <c r="J79" s="303">
        <f>Calculations!AS109</f>
        <v>2408440.4453565408</v>
      </c>
      <c r="K79" s="5">
        <f>E79*1.091947</f>
        <v>295944.82648030005</v>
      </c>
      <c r="L79" s="5">
        <f>J79+K79</f>
        <v>2704385.271836841</v>
      </c>
      <c r="M79" s="119">
        <v>314</v>
      </c>
      <c r="N79" s="55">
        <f>SUM(L79/M79)</f>
        <v>8612.6919485249709</v>
      </c>
      <c r="O79" s="33">
        <f>L79/$L$177</f>
        <v>1.4088616681168528E-3</v>
      </c>
      <c r="P79" s="180">
        <f>SUM(H79*'Front page'!$H$10)+H79</f>
        <v>8265.2824585987255</v>
      </c>
      <c r="Q79" s="180">
        <f>MIN(N79,P79)*M79</f>
        <v>2595298.6919999998</v>
      </c>
      <c r="R79" s="187"/>
      <c r="S79" s="5">
        <f>L79-F79</f>
        <v>232672.23183684144</v>
      </c>
      <c r="T79" s="5" t="str">
        <f>IF(S79&lt;0,S79,"")</f>
        <v/>
      </c>
      <c r="U79" s="5">
        <f>SUM(Q79-F79)</f>
        <v>123585.65200000023</v>
      </c>
      <c r="V79" s="5">
        <f>SUM(Q79-L79)</f>
        <v>-109086.57983684121</v>
      </c>
      <c r="W79" s="52">
        <f>SUM(S79/F79)</f>
        <v>9.4133998595905571E-2</v>
      </c>
      <c r="X79" s="6">
        <f>SUM(F79*$X$1)+F79</f>
        <v>2595298.6919999993</v>
      </c>
      <c r="Y79" s="5">
        <f>MIN(L79,Q79)</f>
        <v>2595298.6919999998</v>
      </c>
      <c r="Z79" s="54">
        <f>SUM(Y79-F79)</f>
        <v>123585.65200000023</v>
      </c>
      <c r="AA79" s="5">
        <f>SUM(Y79-L79)</f>
        <v>-109086.57983684121</v>
      </c>
      <c r="AB79" s="55">
        <f>SUM(F79*'Front page'!$H$11)+F79</f>
        <v>2545864.4311999995</v>
      </c>
      <c r="AC79" s="55">
        <f>MAX(AB79,L79)</f>
        <v>2704385.271836841</v>
      </c>
      <c r="AD79" s="55">
        <f>MAX(Q79,AB79)</f>
        <v>2595298.6919999998</v>
      </c>
      <c r="AE79" s="55">
        <f>SUM(AC79-F79)</f>
        <v>232672.23183684144</v>
      </c>
      <c r="AF79" s="53">
        <f>SUM(AE79/F79)</f>
        <v>9.4133998595905571E-2</v>
      </c>
      <c r="AG79" s="313">
        <f>SUM(AD79-F79)</f>
        <v>123585.65200000023</v>
      </c>
      <c r="AH79" s="53">
        <f>SUM(AG79/F79)</f>
        <v>5.0000000000000107E-2</v>
      </c>
    </row>
    <row r="80" spans="1:34">
      <c r="A80" t="str">
        <f>RIGHT(C80,3)</f>
        <v>044</v>
      </c>
      <c r="B80">
        <f>A80*1</f>
        <v>44</v>
      </c>
      <c r="C80" s="14" t="s">
        <v>20</v>
      </c>
      <c r="D80" s="299">
        <v>2120997.17</v>
      </c>
      <c r="E80" s="299">
        <v>352427.98</v>
      </c>
      <c r="F80" s="299">
        <f>D80+E80</f>
        <v>2473425.15</v>
      </c>
      <c r="G80" s="300">
        <v>327</v>
      </c>
      <c r="H80" s="301">
        <f>SUM(F80/G80)</f>
        <v>7563.9912844036699</v>
      </c>
      <c r="I80" s="302">
        <f>F80/$F$177</f>
        <v>1.4152621223346869E-3</v>
      </c>
      <c r="J80" s="303">
        <f>Calculations!AS12</f>
        <v>2730799.0937418202</v>
      </c>
      <c r="K80" s="5">
        <f>E80*1.091947</f>
        <v>384832.67547705997</v>
      </c>
      <c r="L80" s="5">
        <f>J80+K80</f>
        <v>3115631.7692188802</v>
      </c>
      <c r="M80" s="119">
        <v>327</v>
      </c>
      <c r="N80" s="55">
        <f>SUM(L80/M80)</f>
        <v>9527.9258997519264</v>
      </c>
      <c r="O80" s="33">
        <f>L80/$L$177</f>
        <v>1.6231023801716654E-3</v>
      </c>
      <c r="P80" s="180">
        <f>SUM(H80*'Front page'!$H$10)+H80</f>
        <v>7942.1908486238535</v>
      </c>
      <c r="Q80" s="180">
        <f>MIN(N80,P80)*M80</f>
        <v>2597096.4075000002</v>
      </c>
      <c r="R80" s="187"/>
      <c r="S80" s="5">
        <f>L80-F80</f>
        <v>642206.61921888031</v>
      </c>
      <c r="T80" s="5" t="str">
        <f>IF(S80&lt;0,S80,"")</f>
        <v/>
      </c>
      <c r="U80" s="5">
        <f>SUM(Q80-F80)</f>
        <v>123671.2575000003</v>
      </c>
      <c r="V80" s="5">
        <f>SUM(Q80-L80)</f>
        <v>-518535.36171888001</v>
      </c>
      <c r="W80" s="52">
        <f>SUM(S80/F80)</f>
        <v>0.25964263330098358</v>
      </c>
      <c r="X80" s="6">
        <f>SUM(F80*$X$1)+F80</f>
        <v>2597096.4074999997</v>
      </c>
      <c r="Y80" s="5">
        <f>MIN(L80,Q80)</f>
        <v>2597096.4075000002</v>
      </c>
      <c r="Z80" s="54">
        <f>SUM(Y80-F80)</f>
        <v>123671.2575000003</v>
      </c>
      <c r="AA80" s="5">
        <f>SUM(Y80-L80)</f>
        <v>-518535.36171888001</v>
      </c>
      <c r="AB80" s="55">
        <f>SUM(F80*'Front page'!$H$11)+F80</f>
        <v>2547627.9044999997</v>
      </c>
      <c r="AC80" s="55">
        <f>MAX(AB80,L80)</f>
        <v>3115631.7692188802</v>
      </c>
      <c r="AD80" s="55">
        <f>MAX(Q80,AB80)</f>
        <v>2597096.4075000002</v>
      </c>
      <c r="AE80" s="55">
        <f>SUM(AC80-F80)</f>
        <v>642206.61921888031</v>
      </c>
      <c r="AF80" s="53">
        <f>SUM(AE80/F80)</f>
        <v>0.25964263330098358</v>
      </c>
      <c r="AG80" s="313">
        <f>SUM(AD80-F80)</f>
        <v>123671.2575000003</v>
      </c>
      <c r="AH80" s="53">
        <f>SUM(AG80/F80)</f>
        <v>5.0000000000000121E-2</v>
      </c>
    </row>
    <row r="81" spans="1:34">
      <c r="A81" t="str">
        <f>RIGHT(C81,3)</f>
        <v>418</v>
      </c>
      <c r="B81">
        <f>A81*1</f>
        <v>418</v>
      </c>
      <c r="C81" s="14" t="s">
        <v>120</v>
      </c>
      <c r="D81" s="299">
        <v>2305218.86</v>
      </c>
      <c r="E81" s="299">
        <v>275851.51999999996</v>
      </c>
      <c r="F81" s="299">
        <f>D81+E81</f>
        <v>2581070.38</v>
      </c>
      <c r="G81" s="300">
        <v>336</v>
      </c>
      <c r="H81" s="301">
        <f>SUM(F81/G81)</f>
        <v>7681.757083333333</v>
      </c>
      <c r="I81" s="302">
        <f>F81/$F$177</f>
        <v>1.4768553412234837E-3</v>
      </c>
      <c r="J81" s="303">
        <f>Calculations!AS112</f>
        <v>2654871.4394448767</v>
      </c>
      <c r="K81" s="5">
        <f>E81*1.091947</f>
        <v>301215.23970943998</v>
      </c>
      <c r="L81" s="5">
        <f>J81+K81</f>
        <v>2956086.6791543169</v>
      </c>
      <c r="M81" s="119">
        <v>336</v>
      </c>
      <c r="N81" s="55">
        <f>SUM(L81/M81)</f>
        <v>8797.8770212926102</v>
      </c>
      <c r="O81" s="33">
        <f>L81/$L$177</f>
        <v>1.5399866480794167E-3</v>
      </c>
      <c r="P81" s="180">
        <f>SUM(H81*'Front page'!$H$10)+H81</f>
        <v>8065.8449375</v>
      </c>
      <c r="Q81" s="180">
        <f>MIN(N81,P81)*M81</f>
        <v>2710123.8990000002</v>
      </c>
      <c r="R81" s="187"/>
      <c r="S81" s="5">
        <f>L81-F81</f>
        <v>375016.29915431701</v>
      </c>
      <c r="T81" s="5" t="str">
        <f>IF(S81&lt;0,S81,"")</f>
        <v/>
      </c>
      <c r="U81" s="5">
        <f>SUM(Q81-F81)</f>
        <v>129053.51900000032</v>
      </c>
      <c r="V81" s="5">
        <f>SUM(Q81-L81)</f>
        <v>-245962.78015431669</v>
      </c>
      <c r="W81" s="52">
        <f>SUM(S81/F81)</f>
        <v>0.1452948753587715</v>
      </c>
      <c r="X81" s="6">
        <f>SUM(F81*$X$1)+F81</f>
        <v>2710123.8989999997</v>
      </c>
      <c r="Y81" s="5">
        <f>MIN(L81,Q81)</f>
        <v>2710123.8990000002</v>
      </c>
      <c r="Z81" s="54">
        <f>SUM(Y81-F81)</f>
        <v>129053.51900000032</v>
      </c>
      <c r="AA81" s="5">
        <f>SUM(Y81-L81)</f>
        <v>-245962.78015431669</v>
      </c>
      <c r="AB81" s="55">
        <f>SUM(F81*'Front page'!$H$11)+F81</f>
        <v>2658502.4913999997</v>
      </c>
      <c r="AC81" s="55">
        <f>MAX(AB81,L81)</f>
        <v>2956086.6791543169</v>
      </c>
      <c r="AD81" s="55">
        <f>MAX(Q81,AB81)</f>
        <v>2710123.8990000002</v>
      </c>
      <c r="AE81" s="55">
        <f>SUM(AC81-F81)</f>
        <v>375016.29915431701</v>
      </c>
      <c r="AF81" s="53">
        <f>SUM(AE81/F81)</f>
        <v>0.1452948753587715</v>
      </c>
      <c r="AG81" s="313">
        <f>SUM(AD81-F81)</f>
        <v>129053.51900000032</v>
      </c>
      <c r="AH81" s="53">
        <f>SUM(AG81/F81)</f>
        <v>5.0000000000000128E-2</v>
      </c>
    </row>
    <row r="82" spans="1:34">
      <c r="A82" t="str">
        <f>RIGHT(C82,3)</f>
        <v>072</v>
      </c>
      <c r="B82">
        <f>A82*1</f>
        <v>72</v>
      </c>
      <c r="C82" s="14" t="s">
        <v>28</v>
      </c>
      <c r="D82" s="299">
        <v>2372334.13</v>
      </c>
      <c r="E82" s="299">
        <v>292683.87</v>
      </c>
      <c r="F82" s="299">
        <f>D82+E82</f>
        <v>2665018</v>
      </c>
      <c r="G82" s="300">
        <v>338.5</v>
      </c>
      <c r="H82" s="301">
        <f>SUM(F82/G82)</f>
        <v>7873.0221565731163</v>
      </c>
      <c r="I82" s="302">
        <f>F82/$F$177</f>
        <v>1.5248890918490672E-3</v>
      </c>
      <c r="J82" s="303">
        <f>Calculations!AS20</f>
        <v>2708981.4479678129</v>
      </c>
      <c r="K82" s="5">
        <f>E82*1.091947</f>
        <v>319595.27379488997</v>
      </c>
      <c r="L82" s="5">
        <f>J82+K82</f>
        <v>3028576.7217627028</v>
      </c>
      <c r="M82" s="119">
        <v>338.5</v>
      </c>
      <c r="N82" s="55">
        <f>SUM(L82/M82)</f>
        <v>8947.0508766992698</v>
      </c>
      <c r="O82" s="33">
        <f>L82/$L$177</f>
        <v>1.5777506617407342E-3</v>
      </c>
      <c r="P82" s="180">
        <f>SUM(H82*'Front page'!$H$10)+H82</f>
        <v>8266.673264401772</v>
      </c>
      <c r="Q82" s="180">
        <f>MIN(N82,P82)*M82</f>
        <v>2798268.9</v>
      </c>
      <c r="R82" s="187"/>
      <c r="S82" s="5">
        <f>L82-F82</f>
        <v>363558.7217627028</v>
      </c>
      <c r="T82" s="5" t="str">
        <f>IF(S82&lt;0,S82,"")</f>
        <v/>
      </c>
      <c r="U82" s="5">
        <f>SUM(Q82-F82)</f>
        <v>133250.89999999991</v>
      </c>
      <c r="V82" s="5">
        <f>SUM(Q82-L82)</f>
        <v>-230307.82176270289</v>
      </c>
      <c r="W82" s="52">
        <f>SUM(S82/F82)</f>
        <v>0.13641886162221148</v>
      </c>
      <c r="X82" s="6">
        <f>SUM(F82*$X$1)+F82</f>
        <v>2798268.9</v>
      </c>
      <c r="Y82" s="5">
        <f>MIN(L82,Q82)</f>
        <v>2798268.9</v>
      </c>
      <c r="Z82" s="54">
        <f>SUM(Y82-F82)</f>
        <v>133250.89999999991</v>
      </c>
      <c r="AA82" s="5">
        <f>SUM(Y82-L82)</f>
        <v>-230307.82176270289</v>
      </c>
      <c r="AB82" s="55">
        <f>SUM(F82*'Front page'!$H$11)+F82</f>
        <v>2744968.54</v>
      </c>
      <c r="AC82" s="55">
        <f>MAX(AB82,L82)</f>
        <v>3028576.7217627028</v>
      </c>
      <c r="AD82" s="55">
        <f>MAX(Q82,AB82)</f>
        <v>2798268.9</v>
      </c>
      <c r="AE82" s="55">
        <f>SUM(AC82-F82)</f>
        <v>363558.7217627028</v>
      </c>
      <c r="AF82" s="53">
        <f>SUM(AE82/F82)</f>
        <v>0.13641886162221148</v>
      </c>
      <c r="AG82" s="313">
        <f>SUM(AD82-F82)</f>
        <v>133250.89999999991</v>
      </c>
      <c r="AH82" s="53">
        <f>SUM(AG82/F82)</f>
        <v>4.9999999999999968E-2</v>
      </c>
    </row>
    <row r="83" spans="1:34">
      <c r="A83" s="27" t="str">
        <f>RIGHT(C83,3)</f>
        <v>464</v>
      </c>
      <c r="B83" s="27">
        <f>A83*1</f>
        <v>464</v>
      </c>
      <c r="C83" s="15" t="s">
        <v>138</v>
      </c>
      <c r="D83" s="299">
        <v>2203201.39</v>
      </c>
      <c r="E83" s="299">
        <v>462208.4</v>
      </c>
      <c r="F83" s="299">
        <f>D83+E83</f>
        <v>2665409.79</v>
      </c>
      <c r="G83" s="300">
        <v>426</v>
      </c>
      <c r="H83" s="301">
        <f>SUM(F83/G83)</f>
        <v>6256.8304929577462</v>
      </c>
      <c r="I83" s="302">
        <f>F83/$F$177</f>
        <v>1.5251132690581124E-3</v>
      </c>
      <c r="J83" s="303">
        <f>Calculations!AS130</f>
        <v>3057187.1732876832</v>
      </c>
      <c r="K83" s="5">
        <f>E83*1.091947</f>
        <v>504707.07575480005</v>
      </c>
      <c r="L83" s="5">
        <f>J83+K83</f>
        <v>3561894.249042483</v>
      </c>
      <c r="M83" s="119">
        <v>426</v>
      </c>
      <c r="N83" s="55">
        <f>SUM(L83/M83)</f>
        <v>8361.2541057335275</v>
      </c>
      <c r="O83" s="33">
        <f>L83/$L$177</f>
        <v>1.8555848257350563E-3</v>
      </c>
      <c r="P83" s="180">
        <f>SUM(H83*'Front page'!$H$10)+H83</f>
        <v>6569.6720176056333</v>
      </c>
      <c r="Q83" s="180">
        <f>MIN(N83,P83)*M83</f>
        <v>2798680.2794999997</v>
      </c>
      <c r="R83" s="187"/>
      <c r="S83" s="5">
        <f>L83-F83</f>
        <v>896484.45904248301</v>
      </c>
      <c r="T83" s="5" t="str">
        <f>IF(S83&lt;0,S83,"")</f>
        <v/>
      </c>
      <c r="U83" s="5">
        <f>SUM(Q83-F83)</f>
        <v>133270.48949999968</v>
      </c>
      <c r="V83" s="5">
        <f>SUM(Q83-L83)</f>
        <v>-763213.96954248333</v>
      </c>
      <c r="W83" s="52">
        <f>SUM(S83/F83)</f>
        <v>0.33634019894647532</v>
      </c>
      <c r="X83" s="6">
        <f>SUM(F83*$X$1)+F83</f>
        <v>2798680.2795000002</v>
      </c>
      <c r="Y83" s="5">
        <f>MIN(L83,Q83)</f>
        <v>2798680.2794999997</v>
      </c>
      <c r="Z83" s="54">
        <f>SUM(Y83-F83)</f>
        <v>133270.48949999968</v>
      </c>
      <c r="AA83" s="5">
        <f>SUM(Y83-L83)</f>
        <v>-763213.96954248333</v>
      </c>
      <c r="AB83" s="55">
        <f>SUM(F83*'Front page'!$H$11)+F83</f>
        <v>2745372.0836999998</v>
      </c>
      <c r="AC83" s="55">
        <f>MAX(AB83,L83)</f>
        <v>3561894.249042483</v>
      </c>
      <c r="AD83" s="55">
        <f>MAX(Q83,AB83)</f>
        <v>2798680.2794999997</v>
      </c>
      <c r="AE83" s="55">
        <f>SUM(AC83-F83)</f>
        <v>896484.45904248301</v>
      </c>
      <c r="AF83" s="53">
        <f>SUM(AE83/F83)</f>
        <v>0.33634019894647532</v>
      </c>
      <c r="AG83" s="313">
        <f>SUM(AD83-F83)</f>
        <v>133270.48949999968</v>
      </c>
      <c r="AH83" s="53">
        <f>SUM(AG83/F83)</f>
        <v>4.9999999999999878E-2</v>
      </c>
    </row>
    <row r="84" spans="1:34" s="27" customFormat="1">
      <c r="A84" t="str">
        <f>RIGHT(C84,3)</f>
        <v>181</v>
      </c>
      <c r="B84">
        <f>A84*1</f>
        <v>181</v>
      </c>
      <c r="C84" s="14" t="s">
        <v>52</v>
      </c>
      <c r="D84" s="299">
        <v>2438380.59</v>
      </c>
      <c r="E84" s="299">
        <v>315639.38</v>
      </c>
      <c r="F84" s="299">
        <f>D84+E84</f>
        <v>2754019.9699999997</v>
      </c>
      <c r="G84" s="300">
        <v>331.5</v>
      </c>
      <c r="H84" s="301">
        <f>SUM(F84/G84)</f>
        <v>8307.7525490196076</v>
      </c>
      <c r="I84" s="302">
        <f>F84/$F$177</f>
        <v>1.5758148766678104E-3</v>
      </c>
      <c r="J84" s="303">
        <f>Calculations!AS44</f>
        <v>2758803.2665439202</v>
      </c>
      <c r="K84" s="5">
        <f>E84*1.091947</f>
        <v>344661.47407286003</v>
      </c>
      <c r="L84" s="5">
        <f>J84+K84</f>
        <v>3103464.7406167802</v>
      </c>
      <c r="M84" s="119">
        <v>331.5</v>
      </c>
      <c r="N84" s="55">
        <f>SUM(L84/M84)</f>
        <v>9361.8845870792775</v>
      </c>
      <c r="O84" s="33">
        <f>L84/$L$177</f>
        <v>1.616763911910175E-3</v>
      </c>
      <c r="P84" s="180">
        <f>SUM(H84*'Front page'!$H$10)+H84</f>
        <v>8723.1401764705879</v>
      </c>
      <c r="Q84" s="180">
        <f>MIN(N84,P84)*M84</f>
        <v>2891720.9685</v>
      </c>
      <c r="R84" s="187"/>
      <c r="S84" s="5">
        <f>L84-F84</f>
        <v>349444.7706167805</v>
      </c>
      <c r="T84" s="5" t="str">
        <f>IF(S84&lt;0,S84,"")</f>
        <v/>
      </c>
      <c r="U84" s="5">
        <f>SUM(Q84-F84)</f>
        <v>137700.99850000022</v>
      </c>
      <c r="V84" s="5">
        <f>SUM(Q84-L84)</f>
        <v>-211743.77211678028</v>
      </c>
      <c r="W84" s="52">
        <f>SUM(S84/F84)</f>
        <v>0.12688534376051766</v>
      </c>
      <c r="X84" s="6">
        <f>SUM(F84*$X$1)+F84</f>
        <v>2891720.9684999995</v>
      </c>
      <c r="Y84" s="5">
        <f>MIN(L84,Q84)</f>
        <v>2891720.9685</v>
      </c>
      <c r="Z84" s="54">
        <f>SUM(Y84-F84)</f>
        <v>137700.99850000022</v>
      </c>
      <c r="AA84" s="5">
        <f>SUM(Y84-L84)</f>
        <v>-211743.77211678028</v>
      </c>
      <c r="AB84" s="55">
        <f>SUM(F84*'Front page'!$H$11)+F84</f>
        <v>2836640.5691</v>
      </c>
      <c r="AC84" s="55">
        <f>MAX(AB84,L84)</f>
        <v>3103464.7406167802</v>
      </c>
      <c r="AD84" s="55">
        <f>MAX(Q84,AB84)</f>
        <v>2891720.9685</v>
      </c>
      <c r="AE84" s="55">
        <f>SUM(AC84-F84)</f>
        <v>349444.7706167805</v>
      </c>
      <c r="AF84" s="53">
        <f>SUM(AE84/F84)</f>
        <v>0.12688534376051766</v>
      </c>
      <c r="AG84" s="313">
        <f>SUM(AD84-F84)</f>
        <v>137700.99850000022</v>
      </c>
      <c r="AH84" s="53">
        <f>SUM(AG84/F84)</f>
        <v>5.0000000000000086E-2</v>
      </c>
    </row>
    <row r="85" spans="1:34">
      <c r="A85" s="27" t="str">
        <f>RIGHT(C85,3)</f>
        <v>487</v>
      </c>
      <c r="B85" s="27">
        <f>A85*1</f>
        <v>487</v>
      </c>
      <c r="C85" s="15" t="s">
        <v>158</v>
      </c>
      <c r="D85" s="299">
        <v>2392164.1300000004</v>
      </c>
      <c r="E85" s="299">
        <v>367874.22000000003</v>
      </c>
      <c r="F85" s="299">
        <f>D85+E85</f>
        <v>2760038.3500000006</v>
      </c>
      <c r="G85" s="300">
        <v>336</v>
      </c>
      <c r="H85" s="301">
        <f>SUM(F85/G85)</f>
        <v>8214.3998511904774</v>
      </c>
      <c r="I85" s="302">
        <f>F85/$F$177</f>
        <v>1.5792585164528339E-3</v>
      </c>
      <c r="J85" s="303">
        <f>Calculations!AS150</f>
        <v>2633844.5004615085</v>
      </c>
      <c r="K85" s="5">
        <f>E85*1.091947</f>
        <v>401699.15090634004</v>
      </c>
      <c r="L85" s="5">
        <f>J85+K85</f>
        <v>3035543.6513678487</v>
      </c>
      <c r="M85" s="119">
        <v>336</v>
      </c>
      <c r="N85" s="55">
        <f>SUM(L85/M85)</f>
        <v>9034.356105261455</v>
      </c>
      <c r="O85" s="33">
        <f>L85/$L$177</f>
        <v>1.5813801150465837E-3</v>
      </c>
      <c r="P85" s="180">
        <f>SUM(H85*'Front page'!$H$10)+H85</f>
        <v>8625.1198437500007</v>
      </c>
      <c r="Q85" s="180">
        <f>MIN(N85,P85)*M85</f>
        <v>2898040.2675000001</v>
      </c>
      <c r="R85" s="187"/>
      <c r="S85" s="5">
        <f>L85-F85</f>
        <v>275505.30136784818</v>
      </c>
      <c r="T85" s="5" t="str">
        <f>IF(S85&lt;0,S85,"")</f>
        <v/>
      </c>
      <c r="U85" s="5">
        <f>SUM(Q85-F85)</f>
        <v>138001.91749999952</v>
      </c>
      <c r="V85" s="5">
        <f>SUM(Q85-L85)</f>
        <v>-137503.38386784866</v>
      </c>
      <c r="W85" s="52">
        <f>SUM(S85/F85)</f>
        <v>9.9819374382188616E-2</v>
      </c>
      <c r="X85" s="6">
        <f>SUM(F85*$X$1)+F85</f>
        <v>2898040.2675000005</v>
      </c>
      <c r="Y85" s="5">
        <f>MIN(L85,Q85)</f>
        <v>2898040.2675000001</v>
      </c>
      <c r="Z85" s="54">
        <f>SUM(Y85-F85)</f>
        <v>138001.91749999952</v>
      </c>
      <c r="AA85" s="5">
        <f>SUM(Y85-L85)</f>
        <v>-137503.38386784866</v>
      </c>
      <c r="AB85" s="55">
        <f>SUM(F85*'Front page'!$H$11)+F85</f>
        <v>2842839.5005000005</v>
      </c>
      <c r="AC85" s="55">
        <f>MAX(AB85,L85)</f>
        <v>3035543.6513678487</v>
      </c>
      <c r="AD85" s="55">
        <f>MAX(Q85,AB85)</f>
        <v>2898040.2675000001</v>
      </c>
      <c r="AE85" s="55">
        <f>SUM(AC85-F85)</f>
        <v>275505.30136784818</v>
      </c>
      <c r="AF85" s="53">
        <f>SUM(AE85/F85)</f>
        <v>9.9819374382188616E-2</v>
      </c>
      <c r="AG85" s="313">
        <f>SUM(AD85-F85)</f>
        <v>138001.91749999952</v>
      </c>
      <c r="AH85" s="53">
        <f>SUM(AG85/F85)</f>
        <v>4.9999999999999815E-2</v>
      </c>
    </row>
    <row r="86" spans="1:34">
      <c r="A86" s="27" t="str">
        <f>RIGHT(C86,3)</f>
        <v>461</v>
      </c>
      <c r="B86" s="27">
        <f>A86*1</f>
        <v>461</v>
      </c>
      <c r="C86" s="15" t="s">
        <v>135</v>
      </c>
      <c r="D86" s="299">
        <v>2429361.73</v>
      </c>
      <c r="E86" s="299">
        <v>367651.91000000003</v>
      </c>
      <c r="F86" s="299">
        <f>D86+E86</f>
        <v>2797013.64</v>
      </c>
      <c r="G86" s="300">
        <v>376</v>
      </c>
      <c r="H86" s="301">
        <f>SUM(F86/G86)</f>
        <v>7438.8660638297879</v>
      </c>
      <c r="I86" s="302">
        <f>F86/$F$177</f>
        <v>1.60041530278184E-3</v>
      </c>
      <c r="J86" s="303">
        <f>Calculations!AS127</f>
        <v>2668910.3740822561</v>
      </c>
      <c r="K86" s="5">
        <f>E86*1.091947</f>
        <v>401456.40016877005</v>
      </c>
      <c r="L86" s="5">
        <f>J86+K86</f>
        <v>3070366.7742510261</v>
      </c>
      <c r="M86" s="119">
        <v>376</v>
      </c>
      <c r="N86" s="55">
        <f>SUM(L86/M86)</f>
        <v>8165.8690804548569</v>
      </c>
      <c r="O86" s="33">
        <f>L86/$L$177</f>
        <v>1.5995213775009929E-3</v>
      </c>
      <c r="P86" s="180">
        <f>SUM(H86*'Front page'!$H$10)+H86</f>
        <v>7810.8093670212775</v>
      </c>
      <c r="Q86" s="180">
        <f>MIN(N86,P86)*M86</f>
        <v>2936864.3220000002</v>
      </c>
      <c r="R86" s="187"/>
      <c r="S86" s="5">
        <f>L86-F86</f>
        <v>273353.13425102597</v>
      </c>
      <c r="T86" s="5" t="str">
        <f>IF(S86&lt;0,S86,"")</f>
        <v/>
      </c>
      <c r="U86" s="5">
        <f>SUM(Q86-F86)</f>
        <v>139850.68200000003</v>
      </c>
      <c r="V86" s="5">
        <f>SUM(Q86-L86)</f>
        <v>-133502.45225102594</v>
      </c>
      <c r="W86" s="52">
        <f>SUM(S86/F86)</f>
        <v>9.7730354382907461E-2</v>
      </c>
      <c r="X86" s="6">
        <f>SUM(F86*$X$1)+F86</f>
        <v>2936864.3220000002</v>
      </c>
      <c r="Y86" s="5">
        <f>MIN(L86,Q86)</f>
        <v>2936864.3220000002</v>
      </c>
      <c r="Z86" s="54">
        <f>SUM(Y86-F86)</f>
        <v>139850.68200000003</v>
      </c>
      <c r="AA86" s="5">
        <f>SUM(Y86-L86)</f>
        <v>-133502.45225102594</v>
      </c>
      <c r="AB86" s="55">
        <f>SUM(F86*'Front page'!$H$11)+F86</f>
        <v>2880924.0492000002</v>
      </c>
      <c r="AC86" s="55">
        <f>MAX(AB86,L86)</f>
        <v>3070366.7742510261</v>
      </c>
      <c r="AD86" s="55">
        <f>MAX(Q86,AB86)</f>
        <v>2936864.3220000002</v>
      </c>
      <c r="AE86" s="55">
        <f>SUM(AC86-F86)</f>
        <v>273353.13425102597</v>
      </c>
      <c r="AF86" s="53">
        <f>SUM(AE86/F86)</f>
        <v>9.7730354382907461E-2</v>
      </c>
      <c r="AG86" s="313">
        <f>SUM(AD86-F86)</f>
        <v>139850.68200000003</v>
      </c>
      <c r="AH86" s="53">
        <f>SUM(AG86/F86)</f>
        <v>5.000000000000001E-2</v>
      </c>
    </row>
    <row r="87" spans="1:34">
      <c r="A87" s="27" t="str">
        <f>RIGHT(C87,3)</f>
        <v>480</v>
      </c>
      <c r="B87" s="27">
        <f>A87*1</f>
        <v>480</v>
      </c>
      <c r="C87" s="15" t="s">
        <v>152</v>
      </c>
      <c r="D87" s="299">
        <v>2582432.27</v>
      </c>
      <c r="E87" s="299">
        <v>313286.26</v>
      </c>
      <c r="F87" s="299">
        <f>D87+E87</f>
        <v>2895718.5300000003</v>
      </c>
      <c r="G87" s="300">
        <v>463</v>
      </c>
      <c r="H87" s="301">
        <f>SUM(F87/G87)</f>
        <v>6254.251684665227</v>
      </c>
      <c r="I87" s="302">
        <f>F87/$F$177</f>
        <v>1.656892973879432E-3</v>
      </c>
      <c r="J87" s="303">
        <f>Calculations!AS144</f>
        <v>3239168.3854500419</v>
      </c>
      <c r="K87" s="5">
        <f>E87*1.091947</f>
        <v>342091.99174822</v>
      </c>
      <c r="L87" s="5">
        <f>J87+K87</f>
        <v>3581260.3771982617</v>
      </c>
      <c r="M87" s="119">
        <v>463</v>
      </c>
      <c r="N87" s="55">
        <f>SUM(L87/M87)</f>
        <v>7734.9036224584488</v>
      </c>
      <c r="O87" s="33">
        <f>L87/$L$177</f>
        <v>1.8656736972810781E-3</v>
      </c>
      <c r="P87" s="180">
        <f>SUM(H87*'Front page'!$H$10)+H87</f>
        <v>6566.9642688984886</v>
      </c>
      <c r="Q87" s="180">
        <f>MIN(N87,P87)*M87</f>
        <v>3040504.4565000003</v>
      </c>
      <c r="R87" s="187"/>
      <c r="S87" s="5">
        <f>L87-F87</f>
        <v>685541.84719826141</v>
      </c>
      <c r="T87" s="5" t="str">
        <f>IF(S87&lt;0,S87,"")</f>
        <v/>
      </c>
      <c r="U87" s="5">
        <f>SUM(Q87-F87)</f>
        <v>144785.92650000006</v>
      </c>
      <c r="V87" s="5">
        <f>SUM(Q87-L87)</f>
        <v>-540755.92069826135</v>
      </c>
      <c r="W87" s="52">
        <f>SUM(S87/F87)</f>
        <v>0.23674326081625804</v>
      </c>
      <c r="X87" s="6">
        <f>SUM(F87*$X$1)+F87</f>
        <v>3040504.4565000003</v>
      </c>
      <c r="Y87" s="5">
        <f>MIN(L87,Q87)</f>
        <v>3040504.4565000003</v>
      </c>
      <c r="Z87" s="54">
        <f>SUM(Y87-F87)</f>
        <v>144785.92650000006</v>
      </c>
      <c r="AA87" s="5">
        <f>SUM(Y87-L87)</f>
        <v>-540755.92069826135</v>
      </c>
      <c r="AB87" s="55">
        <f>SUM(F87*'Front page'!$H$11)+F87</f>
        <v>2982590.0859000003</v>
      </c>
      <c r="AC87" s="55">
        <f>MAX(AB87,L87)</f>
        <v>3581260.3771982617</v>
      </c>
      <c r="AD87" s="55">
        <f>MAX(Q87,AB87)</f>
        <v>3040504.4565000003</v>
      </c>
      <c r="AE87" s="55">
        <f>SUM(AC87-F87)</f>
        <v>685541.84719826141</v>
      </c>
      <c r="AF87" s="53">
        <f>SUM(AE87/F87)</f>
        <v>0.23674326081625804</v>
      </c>
      <c r="AG87" s="313">
        <f>SUM(AD87-F87)</f>
        <v>144785.92650000006</v>
      </c>
      <c r="AH87" s="53">
        <f>SUM(AG87/F87)</f>
        <v>5.0000000000000017E-2</v>
      </c>
    </row>
    <row r="88" spans="1:34">
      <c r="A88" s="27" t="str">
        <f>RIGHT(C88,3)</f>
        <v>451</v>
      </c>
      <c r="B88" s="27">
        <f>A88*1</f>
        <v>451</v>
      </c>
      <c r="C88" s="15" t="s">
        <v>126</v>
      </c>
      <c r="D88" s="299">
        <v>2608651.04</v>
      </c>
      <c r="E88" s="299">
        <v>363410</v>
      </c>
      <c r="F88" s="299">
        <f>D88+E88</f>
        <v>2972061.04</v>
      </c>
      <c r="G88" s="300">
        <v>388.5</v>
      </c>
      <c r="H88" s="301">
        <f>SUM(F88/G88)</f>
        <v>7650.0927670527672</v>
      </c>
      <c r="I88" s="302">
        <f>F88/$F$177</f>
        <v>1.7005751781810081E-3</v>
      </c>
      <c r="J88" s="303">
        <f>Calculations!AS118</f>
        <v>3015407.640601215</v>
      </c>
      <c r="K88" s="306">
        <f>E88*1.091947</f>
        <v>396824.45926999999</v>
      </c>
      <c r="L88" s="306">
        <f>J88+K88</f>
        <v>3412232.0998712149</v>
      </c>
      <c r="M88" s="119">
        <v>388.5</v>
      </c>
      <c r="N88" s="305">
        <f>SUM(L88/M88)</f>
        <v>8783.0942081627163</v>
      </c>
      <c r="O88" s="307">
        <f>L88/$L$177</f>
        <v>1.7776176561415862E-3</v>
      </c>
      <c r="P88" s="308">
        <f>SUM(H88*'Front page'!$H$10)+H88</f>
        <v>8032.5974054054059</v>
      </c>
      <c r="Q88" s="308">
        <f>MIN(N88,P88)*M88</f>
        <v>3120664.0920000002</v>
      </c>
      <c r="R88" s="308"/>
      <c r="S88" s="306">
        <f>L88-F88</f>
        <v>440171.05987121491</v>
      </c>
      <c r="T88" s="306" t="str">
        <f>IF(S88&lt;0,S88,"")</f>
        <v/>
      </c>
      <c r="U88" s="306">
        <f>SUM(Q88-F88)</f>
        <v>148603.05200000014</v>
      </c>
      <c r="V88" s="306">
        <f>SUM(Q88-L88)</f>
        <v>-291568.00787121477</v>
      </c>
      <c r="W88" s="309">
        <f>SUM(S88/F88)</f>
        <v>0.14810296758616198</v>
      </c>
      <c r="X88" s="310">
        <f>SUM(F88*$X$1)+F88</f>
        <v>3120664.0920000002</v>
      </c>
      <c r="Y88" s="306">
        <f>MIN(L88,Q88)</f>
        <v>3120664.0920000002</v>
      </c>
      <c r="Z88" s="311">
        <f>SUM(Y88-F88)</f>
        <v>148603.05200000014</v>
      </c>
      <c r="AA88" s="306">
        <f>SUM(Y88-L88)</f>
        <v>-291568.00787121477</v>
      </c>
      <c r="AB88" s="305">
        <f>SUM(F88*'Front page'!$H$11)+F88</f>
        <v>3061222.8711999999</v>
      </c>
      <c r="AC88" s="305">
        <f>MAX(AB88,L88)</f>
        <v>3412232.0998712149</v>
      </c>
      <c r="AD88" s="305">
        <f>MAX(Q88,AB88)</f>
        <v>3120664.0920000002</v>
      </c>
      <c r="AE88" s="305">
        <f>SUM(AC88-F88)</f>
        <v>440171.05987121491</v>
      </c>
      <c r="AF88" s="312">
        <f>SUM(AE88/F88)</f>
        <v>0.14810296758616198</v>
      </c>
      <c r="AG88" s="313">
        <f>SUM(AD88-F88)</f>
        <v>148603.05200000014</v>
      </c>
      <c r="AH88" s="312">
        <f>SUM(AG88/F88)</f>
        <v>5.0000000000000044E-2</v>
      </c>
    </row>
    <row r="89" spans="1:34">
      <c r="A89" t="str">
        <f>RIGHT(C89,3)</f>
        <v>304</v>
      </c>
      <c r="B89">
        <f>A89*1</f>
        <v>304</v>
      </c>
      <c r="C89" s="14" t="s">
        <v>86</v>
      </c>
      <c r="D89" s="299">
        <v>2708085.5799999996</v>
      </c>
      <c r="E89" s="299">
        <v>284194.26</v>
      </c>
      <c r="F89" s="299">
        <f>D89+E89</f>
        <v>2992279.84</v>
      </c>
      <c r="G89" s="300">
        <v>415</v>
      </c>
      <c r="H89" s="301">
        <f>SUM(F89/G89)</f>
        <v>7210.3128674698792</v>
      </c>
      <c r="I89" s="302">
        <f>F89/$F$177</f>
        <v>1.7121441160156785E-3</v>
      </c>
      <c r="J89" s="303">
        <f>Calculations!AS78</f>
        <v>3178095.8958593803</v>
      </c>
      <c r="K89" s="5">
        <f>E89*1.091947</f>
        <v>310325.06962422002</v>
      </c>
      <c r="L89" s="5">
        <f>J89+K89</f>
        <v>3488420.9654836003</v>
      </c>
      <c r="M89" s="119">
        <v>415</v>
      </c>
      <c r="N89" s="55">
        <f>SUM(L89/M89)</f>
        <v>8405.8336517677108</v>
      </c>
      <c r="O89" s="33">
        <f>L89/$L$177</f>
        <v>1.8173085882792581E-3</v>
      </c>
      <c r="P89" s="180">
        <f>SUM(H89*'Front page'!$H$10)+H89</f>
        <v>7570.8285108433729</v>
      </c>
      <c r="Q89" s="180">
        <f>MIN(N89,P89)*M89</f>
        <v>3141893.8319999999</v>
      </c>
      <c r="R89" s="187"/>
      <c r="S89" s="5">
        <f>L89-F89</f>
        <v>496141.12548360042</v>
      </c>
      <c r="T89" s="5" t="str">
        <f>IF(S89&lt;0,S89,"")</f>
        <v/>
      </c>
      <c r="U89" s="5">
        <f>SUM(Q89-F89)</f>
        <v>149613.99200000009</v>
      </c>
      <c r="V89" s="5">
        <f>SUM(Q89-L89)</f>
        <v>-346527.13348360034</v>
      </c>
      <c r="W89" s="52">
        <f>SUM(S89/F89)</f>
        <v>0.16580706084080707</v>
      </c>
      <c r="X89" s="6">
        <f>SUM(F89*$X$1)+F89</f>
        <v>3141893.8319999999</v>
      </c>
      <c r="Y89" s="5">
        <f>MIN(L89,Q89)</f>
        <v>3141893.8319999999</v>
      </c>
      <c r="Z89" s="54">
        <f>SUM(Y89-F89)</f>
        <v>149613.99200000009</v>
      </c>
      <c r="AA89" s="5">
        <f>SUM(Y89-L89)</f>
        <v>-346527.13348360034</v>
      </c>
      <c r="AB89" s="55">
        <f>SUM(F89*'Front page'!$H$11)+F89</f>
        <v>3082048.2352</v>
      </c>
      <c r="AC89" s="55">
        <f>MAX(AB89,L89)</f>
        <v>3488420.9654836003</v>
      </c>
      <c r="AD89" s="55">
        <f>MAX(Q89,AB89)</f>
        <v>3141893.8319999999</v>
      </c>
      <c r="AE89" s="55">
        <f>SUM(AC89-F89)</f>
        <v>496141.12548360042</v>
      </c>
      <c r="AF89" s="53">
        <f>SUM(AE89/F89)</f>
        <v>0.16580706084080707</v>
      </c>
      <c r="AG89" s="313">
        <f>SUM(AD89-F89)</f>
        <v>149613.99200000009</v>
      </c>
      <c r="AH89" s="53">
        <f>SUM(AG89/F89)</f>
        <v>5.0000000000000031E-2</v>
      </c>
    </row>
    <row r="90" spans="1:34">
      <c r="A90" s="27" t="str">
        <f>RIGHT(C90,3)</f>
        <v>466</v>
      </c>
      <c r="B90" s="27">
        <f>A90*1</f>
        <v>466</v>
      </c>
      <c r="C90" s="15" t="s">
        <v>140</v>
      </c>
      <c r="D90" s="299">
        <v>2872685.86</v>
      </c>
      <c r="E90" s="299">
        <v>156561.57</v>
      </c>
      <c r="F90" s="299">
        <f>D90+E90</f>
        <v>3029247.4299999997</v>
      </c>
      <c r="G90" s="300">
        <v>486</v>
      </c>
      <c r="H90" s="301">
        <f>SUM(F90/G90)</f>
        <v>6233.0194032921809</v>
      </c>
      <c r="I90" s="302">
        <f>F90/$F$177</f>
        <v>1.7332964965035209E-3</v>
      </c>
      <c r="J90" s="303">
        <f>Calculations!AS132</f>
        <v>3728333.191525449</v>
      </c>
      <c r="K90" s="5">
        <f>E90*1.091947</f>
        <v>170956.93667679001</v>
      </c>
      <c r="L90" s="5">
        <f>J90+K90</f>
        <v>3899290.1282022391</v>
      </c>
      <c r="M90" s="119">
        <v>486</v>
      </c>
      <c r="N90" s="55">
        <f>SUM(L90/M90)</f>
        <v>8023.2307164655122</v>
      </c>
      <c r="O90" s="33">
        <f>L90/$L$177</f>
        <v>2.0313527261444195E-3</v>
      </c>
      <c r="P90" s="180">
        <f>SUM(H90*'Front page'!$H$10)+H90</f>
        <v>6544.67037345679</v>
      </c>
      <c r="Q90" s="180">
        <f>MIN(N90,P90)*M90</f>
        <v>3180709.8015000001</v>
      </c>
      <c r="R90" s="187"/>
      <c r="S90" s="5">
        <f>L90-F90</f>
        <v>870042.69820223935</v>
      </c>
      <c r="T90" s="5" t="str">
        <f>IF(S90&lt;0,S90,"")</f>
        <v/>
      </c>
      <c r="U90" s="5">
        <f>SUM(Q90-F90)</f>
        <v>151462.37150000036</v>
      </c>
      <c r="V90" s="5">
        <f>SUM(Q90-L90)</f>
        <v>-718580.32670223899</v>
      </c>
      <c r="W90" s="52">
        <f>SUM(S90/F90)</f>
        <v>0.28721414090701708</v>
      </c>
      <c r="X90" s="6">
        <f>SUM(F90*$X$1)+F90</f>
        <v>3180709.8014999996</v>
      </c>
      <c r="Y90" s="5">
        <f>MIN(L90,Q90)</f>
        <v>3180709.8015000001</v>
      </c>
      <c r="Z90" s="54">
        <f>SUM(Y90-F90)</f>
        <v>151462.37150000036</v>
      </c>
      <c r="AA90" s="5">
        <f>SUM(Y90-L90)</f>
        <v>-718580.32670223899</v>
      </c>
      <c r="AB90" s="55">
        <f>SUM(F90*'Front page'!$H$11)+F90</f>
        <v>3120124.8528999998</v>
      </c>
      <c r="AC90" s="55">
        <f>MAX(AB90,L90)</f>
        <v>3899290.1282022391</v>
      </c>
      <c r="AD90" s="55">
        <f>MAX(Q90,AB90)</f>
        <v>3180709.8015000001</v>
      </c>
      <c r="AE90" s="55">
        <f>SUM(AC90-F90)</f>
        <v>870042.69820223935</v>
      </c>
      <c r="AF90" s="53">
        <f>SUM(AE90/F90)</f>
        <v>0.28721414090701708</v>
      </c>
      <c r="AG90" s="313">
        <f>SUM(AD90-F90)</f>
        <v>151462.37150000036</v>
      </c>
      <c r="AH90" s="53">
        <f>SUM(AG90/F90)</f>
        <v>5.0000000000000121E-2</v>
      </c>
    </row>
    <row r="91" spans="1:34">
      <c r="A91" s="27" t="str">
        <f>RIGHT(C91,3)</f>
        <v>559</v>
      </c>
      <c r="B91" s="27">
        <f>A91*1</f>
        <v>559</v>
      </c>
      <c r="C91" s="15" t="s">
        <v>170</v>
      </c>
      <c r="D91" s="299">
        <v>2579401.7299999995</v>
      </c>
      <c r="E91" s="299">
        <v>455269.75</v>
      </c>
      <c r="F91" s="299">
        <f>D91+E91</f>
        <v>3034671.4799999995</v>
      </c>
      <c r="G91" s="300">
        <v>362</v>
      </c>
      <c r="H91" s="301">
        <f>SUM(F91/G91)</f>
        <v>8383.0703867403299</v>
      </c>
      <c r="I91" s="302">
        <f>F91/$F$177</f>
        <v>1.7364000682912699E-3</v>
      </c>
      <c r="J91" s="303">
        <f>Calculations!AS167</f>
        <v>2865542.1365362369</v>
      </c>
      <c r="K91" s="5">
        <f>E91*1.091947</f>
        <v>497130.43770324998</v>
      </c>
      <c r="L91" s="5">
        <f>J91+K91</f>
        <v>3362672.5742394868</v>
      </c>
      <c r="M91" s="119">
        <v>362</v>
      </c>
      <c r="N91" s="55">
        <f>SUM(L91/M91)</f>
        <v>9289.1507575676424</v>
      </c>
      <c r="O91" s="33">
        <f>L91/$L$177</f>
        <v>1.751799398410441E-3</v>
      </c>
      <c r="P91" s="180">
        <f>SUM(H91*'Front page'!$H$10)+H91</f>
        <v>8802.2239060773463</v>
      </c>
      <c r="Q91" s="180">
        <f>MIN(N91,P91)*M91</f>
        <v>3186405.0539999995</v>
      </c>
      <c r="R91" s="187"/>
      <c r="S91" s="5">
        <f>L91-F91</f>
        <v>328001.09423948731</v>
      </c>
      <c r="T91" s="5" t="str">
        <f>IF(S91&lt;0,S91,"")</f>
        <v/>
      </c>
      <c r="U91" s="5">
        <f>SUM(Q91-F91)</f>
        <v>151733.57400000002</v>
      </c>
      <c r="V91" s="5">
        <f>SUM(Q91-L91)</f>
        <v>-176267.52023948729</v>
      </c>
      <c r="W91" s="52">
        <f>SUM(S91/F91)</f>
        <v>0.10808454766889211</v>
      </c>
      <c r="X91" s="6">
        <f>SUM(F91*$X$1)+F91</f>
        <v>3186405.0539999995</v>
      </c>
      <c r="Y91" s="5">
        <f>MIN(L91,Q91)</f>
        <v>3186405.0539999995</v>
      </c>
      <c r="Z91" s="54">
        <f>SUM(Y91-F91)</f>
        <v>151733.57400000002</v>
      </c>
      <c r="AA91" s="5">
        <f>SUM(Y91-L91)</f>
        <v>-176267.52023948729</v>
      </c>
      <c r="AB91" s="55">
        <f>SUM(F91*'Front page'!$H$11)+F91</f>
        <v>3125711.6243999996</v>
      </c>
      <c r="AC91" s="55">
        <f>MAX(AB91,L91)</f>
        <v>3362672.5742394868</v>
      </c>
      <c r="AD91" s="55">
        <f>MAX(Q91,AB91)</f>
        <v>3186405.0539999995</v>
      </c>
      <c r="AE91" s="55">
        <f>SUM(AC91-F91)</f>
        <v>328001.09423948731</v>
      </c>
      <c r="AF91" s="53">
        <f>SUM(AE91/F91)</f>
        <v>0.10808454766889211</v>
      </c>
      <c r="AG91" s="313">
        <f>SUM(AD91-F91)</f>
        <v>151733.57400000002</v>
      </c>
      <c r="AH91" s="53">
        <f>SUM(AG91/F91)</f>
        <v>5.0000000000000017E-2</v>
      </c>
    </row>
    <row r="92" spans="1:34">
      <c r="A92" t="str">
        <f>RIGHT(C92,3)</f>
        <v>192</v>
      </c>
      <c r="B92">
        <f>A92*1</f>
        <v>192</v>
      </c>
      <c r="C92" s="14" t="s">
        <v>55</v>
      </c>
      <c r="D92" s="299">
        <v>2765663.3800000004</v>
      </c>
      <c r="E92" s="299">
        <v>324038.24000000005</v>
      </c>
      <c r="F92" s="299">
        <f>D92+E92</f>
        <v>3089701.6200000006</v>
      </c>
      <c r="G92" s="300">
        <v>397.5</v>
      </c>
      <c r="H92" s="301">
        <f>SUM(F92/G92)</f>
        <v>7772.8342641509453</v>
      </c>
      <c r="I92" s="302">
        <f>F92/$F$177</f>
        <v>1.7678876080410686E-3</v>
      </c>
      <c r="J92" s="303">
        <f>Calculations!AS47</f>
        <v>3041789.8511126065</v>
      </c>
      <c r="K92" s="5">
        <f>E92*1.091947</f>
        <v>353832.58405328006</v>
      </c>
      <c r="L92" s="5">
        <f>J92+K92</f>
        <v>3395622.4351658868</v>
      </c>
      <c r="M92" s="119">
        <v>397.5</v>
      </c>
      <c r="N92" s="55">
        <f>SUM(L92/M92)</f>
        <v>8542.4463777758156</v>
      </c>
      <c r="O92" s="33">
        <f>L92/$L$177</f>
        <v>1.7689647766250089E-3</v>
      </c>
      <c r="P92" s="180">
        <f>SUM(H92*'Front page'!$H$10)+H92</f>
        <v>8161.4759773584929</v>
      </c>
      <c r="Q92" s="180">
        <f>MIN(N92,P92)*M92</f>
        <v>3244186.7010000008</v>
      </c>
      <c r="R92" s="187"/>
      <c r="S92" s="5">
        <f>L92-F92</f>
        <v>305920.81516588619</v>
      </c>
      <c r="T92" s="5" t="str">
        <f>IF(S92&lt;0,S92,"")</f>
        <v/>
      </c>
      <c r="U92" s="5">
        <f>SUM(Q92-F92)</f>
        <v>154485.08100000024</v>
      </c>
      <c r="V92" s="5">
        <f>SUM(Q92-L92)</f>
        <v>-151435.73416588595</v>
      </c>
      <c r="W92" s="52">
        <f>SUM(S92/F92)</f>
        <v>9.9013061062474414E-2</v>
      </c>
      <c r="X92" s="6">
        <f>SUM(F92*$X$1)+F92</f>
        <v>3244186.7010000008</v>
      </c>
      <c r="Y92" s="5">
        <f>MIN(L92,Q92)</f>
        <v>3244186.7010000008</v>
      </c>
      <c r="Z92" s="54">
        <f>SUM(Y92-F92)</f>
        <v>154485.08100000024</v>
      </c>
      <c r="AA92" s="5">
        <f>SUM(Y92-L92)</f>
        <v>-151435.73416588595</v>
      </c>
      <c r="AB92" s="55">
        <f>SUM(F92*'Front page'!$H$11)+F92</f>
        <v>3182392.6686000004</v>
      </c>
      <c r="AC92" s="55">
        <f>MAX(AB92,L92)</f>
        <v>3395622.4351658868</v>
      </c>
      <c r="AD92" s="55">
        <f>MAX(Q92,AB92)</f>
        <v>3244186.7010000008</v>
      </c>
      <c r="AE92" s="55">
        <f>SUM(AC92-F92)</f>
        <v>305920.81516588619</v>
      </c>
      <c r="AF92" s="53">
        <f>SUM(AE92/F92)</f>
        <v>9.9013061062474414E-2</v>
      </c>
      <c r="AG92" s="313">
        <f>SUM(AD92-F92)</f>
        <v>154485.08100000024</v>
      </c>
      <c r="AH92" s="53">
        <f>SUM(AG92/F92)</f>
        <v>5.0000000000000065E-2</v>
      </c>
    </row>
    <row r="93" spans="1:34">
      <c r="A93" s="27" t="str">
        <f>RIGHT(C93,3)</f>
        <v>481</v>
      </c>
      <c r="B93" s="27">
        <f>A93*1</f>
        <v>481</v>
      </c>
      <c r="C93" s="15" t="s">
        <v>153</v>
      </c>
      <c r="D93" s="299">
        <v>2618401.09</v>
      </c>
      <c r="E93" s="299">
        <v>498108.02999999997</v>
      </c>
      <c r="F93" s="299">
        <f>D93+E93</f>
        <v>3116509.1199999996</v>
      </c>
      <c r="G93" s="300">
        <v>484</v>
      </c>
      <c r="H93" s="301">
        <f>SUM(F93/G93)</f>
        <v>6439.0684297520656</v>
      </c>
      <c r="I93" s="302">
        <f>F93/$F$177</f>
        <v>1.7832265154442239E-3</v>
      </c>
      <c r="J93" s="303">
        <f>Calculations!AS145</f>
        <v>3022345.6474093203</v>
      </c>
      <c r="K93" s="5">
        <f>E93*1.091947</f>
        <v>543907.56903440994</v>
      </c>
      <c r="L93" s="5">
        <f>J93+K93</f>
        <v>3566253.2164437305</v>
      </c>
      <c r="M93" s="119">
        <v>484</v>
      </c>
      <c r="N93" s="55">
        <f>SUM(L93/M93)</f>
        <v>7368.2917695118404</v>
      </c>
      <c r="O93" s="33">
        <f>L93/$L$177</f>
        <v>1.8578556494036149E-3</v>
      </c>
      <c r="P93" s="180">
        <f>SUM(H93*'Front page'!$H$10)+H93</f>
        <v>6761.0218512396686</v>
      </c>
      <c r="Q93" s="180">
        <f>MIN(N93,P93)*M93</f>
        <v>3272334.5759999994</v>
      </c>
      <c r="R93" s="187"/>
      <c r="S93" s="5">
        <f>L93-F93</f>
        <v>449744.09644373087</v>
      </c>
      <c r="T93" s="5" t="str">
        <f>IF(S93&lt;0,S93,"")</f>
        <v/>
      </c>
      <c r="U93" s="5">
        <f>SUM(Q93-F93)</f>
        <v>155825.45599999977</v>
      </c>
      <c r="V93" s="5">
        <f>SUM(Q93-L93)</f>
        <v>-293918.6404437311</v>
      </c>
      <c r="W93" s="52">
        <f>SUM(S93/F93)</f>
        <v>0.14431021348775355</v>
      </c>
      <c r="X93" s="6">
        <f>SUM(F93*$X$1)+F93</f>
        <v>3272334.5759999994</v>
      </c>
      <c r="Y93" s="5">
        <f>MIN(L93,Q93)</f>
        <v>3272334.5759999994</v>
      </c>
      <c r="Z93" s="54">
        <f>SUM(Y93-F93)</f>
        <v>155825.45599999977</v>
      </c>
      <c r="AA93" s="5">
        <f>SUM(Y93-L93)</f>
        <v>-293918.6404437311</v>
      </c>
      <c r="AB93" s="55">
        <f>SUM(F93*'Front page'!$H$11)+F93</f>
        <v>3210004.3935999996</v>
      </c>
      <c r="AC93" s="55">
        <f>MAX(AB93,L93)</f>
        <v>3566253.2164437305</v>
      </c>
      <c r="AD93" s="55">
        <f>MAX(Q93,AB93)</f>
        <v>3272334.5759999994</v>
      </c>
      <c r="AE93" s="55">
        <f>SUM(AC93-F93)</f>
        <v>449744.09644373087</v>
      </c>
      <c r="AF93" s="53">
        <f>SUM(AE93/F93)</f>
        <v>0.14431021348775355</v>
      </c>
      <c r="AG93" s="313">
        <f>SUM(AD93-F93)</f>
        <v>155825.45599999977</v>
      </c>
      <c r="AH93" s="53">
        <f>SUM(AG93/F93)</f>
        <v>4.9999999999999933E-2</v>
      </c>
    </row>
    <row r="94" spans="1:34" ht="29.25">
      <c r="A94" s="27" t="str">
        <f>RIGHT(C94,3)</f>
        <v>477</v>
      </c>
      <c r="B94" s="27">
        <f>A94*1</f>
        <v>477</v>
      </c>
      <c r="C94" s="15" t="s">
        <v>149</v>
      </c>
      <c r="D94" s="299">
        <v>2745025.6399999997</v>
      </c>
      <c r="E94" s="299">
        <v>389751.51</v>
      </c>
      <c r="F94" s="299">
        <f>D94+E94</f>
        <v>3134777.1499999994</v>
      </c>
      <c r="G94" s="300">
        <v>562</v>
      </c>
      <c r="H94" s="301">
        <f>SUM(F94/G94)</f>
        <v>5577.895284697508</v>
      </c>
      <c r="I94" s="302">
        <f>F94/$F$177</f>
        <v>1.7936792477246705E-3</v>
      </c>
      <c r="J94" s="303">
        <f>Calculations!AS141</f>
        <v>3662052.3551547322</v>
      </c>
      <c r="K94" s="5">
        <f>E94*1.091947</f>
        <v>425587.99208997004</v>
      </c>
      <c r="L94" s="5">
        <f>J94+K94</f>
        <v>4087640.3472447023</v>
      </c>
      <c r="M94" s="119">
        <v>562</v>
      </c>
      <c r="N94" s="55">
        <f>SUM(L94/M94)</f>
        <v>7273.3814007912852</v>
      </c>
      <c r="O94" s="33">
        <f>L94/$L$177</f>
        <v>2.1294746197051341E-3</v>
      </c>
      <c r="P94" s="180">
        <f>SUM(H94*'Front page'!$H$10)+H94</f>
        <v>5856.7900489323838</v>
      </c>
      <c r="Q94" s="180">
        <f>MIN(N94,P94)*M94</f>
        <v>3291516.0074999998</v>
      </c>
      <c r="R94" s="187"/>
      <c r="S94" s="5">
        <f>L94-F94</f>
        <v>952863.19724470284</v>
      </c>
      <c r="T94" s="5" t="str">
        <f>IF(S94&lt;0,S94,"")</f>
        <v/>
      </c>
      <c r="U94" s="5">
        <f>SUM(Q94-F94)</f>
        <v>156738.85750000039</v>
      </c>
      <c r="V94" s="5">
        <f>SUM(Q94-L94)</f>
        <v>-796124.33974470245</v>
      </c>
      <c r="W94" s="52">
        <f>SUM(S94/F94)</f>
        <v>0.30396521081082367</v>
      </c>
      <c r="X94" s="6">
        <f>SUM(F94*$X$1)+F94</f>
        <v>3291516.0074999994</v>
      </c>
      <c r="Y94" s="5">
        <f>MIN(L94,Q94)</f>
        <v>3291516.0074999998</v>
      </c>
      <c r="Z94" s="54">
        <f>SUM(Y94-F94)</f>
        <v>156738.85750000039</v>
      </c>
      <c r="AA94" s="5">
        <f>SUM(Y94-L94)</f>
        <v>-796124.33974470245</v>
      </c>
      <c r="AB94" s="55">
        <f>SUM(F94*'Front page'!$H$11)+F94</f>
        <v>3228820.4644999993</v>
      </c>
      <c r="AC94" s="55">
        <f>MAX(AB94,L94)</f>
        <v>4087640.3472447023</v>
      </c>
      <c r="AD94" s="55">
        <f>MAX(Q94,AB94)</f>
        <v>3291516.0074999998</v>
      </c>
      <c r="AE94" s="55">
        <f>SUM(AC94-F94)</f>
        <v>952863.19724470284</v>
      </c>
      <c r="AF94" s="53">
        <f>SUM(AE94/F94)</f>
        <v>0.30396521081082367</v>
      </c>
      <c r="AG94" s="313">
        <f>SUM(AD94-F94)</f>
        <v>156738.85750000039</v>
      </c>
      <c r="AH94" s="53">
        <f>SUM(AG94/F94)</f>
        <v>5.0000000000000135E-2</v>
      </c>
    </row>
    <row r="95" spans="1:34">
      <c r="A95" s="27" t="str">
        <f>RIGHT(C95,3)</f>
        <v>458</v>
      </c>
      <c r="B95" s="27">
        <f>A95*1</f>
        <v>458</v>
      </c>
      <c r="C95" s="15" t="s">
        <v>133</v>
      </c>
      <c r="D95" s="299">
        <v>2702487.6300000004</v>
      </c>
      <c r="E95" s="299">
        <v>433169.64999999997</v>
      </c>
      <c r="F95" s="299">
        <f>D95+E95</f>
        <v>3135657.2800000003</v>
      </c>
      <c r="G95" s="300">
        <v>401.5</v>
      </c>
      <c r="H95" s="301">
        <f>SUM(F95/G95)</f>
        <v>7809.8562391033629</v>
      </c>
      <c r="I95" s="302">
        <f>F95/$F$177</f>
        <v>1.794182846813461E-3</v>
      </c>
      <c r="J95" s="303">
        <f>Calculations!AS125</f>
        <v>3055449.5120615172</v>
      </c>
      <c r="K95" s="5">
        <f>E95*1.091947</f>
        <v>472998.29980854999</v>
      </c>
      <c r="L95" s="5">
        <f>J95+K95</f>
        <v>3528447.8118700674</v>
      </c>
      <c r="M95" s="119">
        <v>401.5</v>
      </c>
      <c r="N95" s="55">
        <f>SUM(L95/M95)</f>
        <v>8788.1639149939419</v>
      </c>
      <c r="O95" s="33">
        <f>L95/$L$177</f>
        <v>1.8381607538921825E-3</v>
      </c>
      <c r="P95" s="180">
        <f>SUM(H95*'Front page'!$H$10)+H95</f>
        <v>8200.3490510585307</v>
      </c>
      <c r="Q95" s="180">
        <f>MIN(N95,P95)*M95</f>
        <v>3292440.1439999999</v>
      </c>
      <c r="R95" s="187"/>
      <c r="S95" s="5">
        <f>L95-F95</f>
        <v>392790.53187006712</v>
      </c>
      <c r="T95" s="5" t="str">
        <f>IF(S95&lt;0,S95,"")</f>
        <v/>
      </c>
      <c r="U95" s="5">
        <f>SUM(Q95-F95)</f>
        <v>156782.86399999959</v>
      </c>
      <c r="V95" s="5">
        <f>SUM(Q95-L95)</f>
        <v>-236007.66787006753</v>
      </c>
      <c r="W95" s="52">
        <f>SUM(S95/F95)</f>
        <v>0.12526577262616759</v>
      </c>
      <c r="X95" s="6">
        <f>SUM(F95*$X$1)+F95</f>
        <v>3292440.1440000003</v>
      </c>
      <c r="Y95" s="5">
        <f>MIN(L95,Q95)</f>
        <v>3292440.1439999999</v>
      </c>
      <c r="Z95" s="54">
        <f>SUM(Y95-F95)</f>
        <v>156782.86399999959</v>
      </c>
      <c r="AA95" s="5">
        <f>SUM(Y95-L95)</f>
        <v>-236007.66787006753</v>
      </c>
      <c r="AB95" s="55">
        <f>SUM(F95*'Front page'!$H$11)+F95</f>
        <v>3229726.9984000004</v>
      </c>
      <c r="AC95" s="55">
        <f>MAX(AB95,L95)</f>
        <v>3528447.8118700674</v>
      </c>
      <c r="AD95" s="55">
        <f>MAX(Q95,AB95)</f>
        <v>3292440.1439999999</v>
      </c>
      <c r="AE95" s="55">
        <f>SUM(AC95-F95)</f>
        <v>392790.53187006712</v>
      </c>
      <c r="AF95" s="53">
        <f>SUM(AE95/F95)</f>
        <v>0.12526577262616759</v>
      </c>
      <c r="AG95" s="313">
        <f>SUM(AD95-F95)</f>
        <v>156782.86399999959</v>
      </c>
      <c r="AH95" s="53">
        <f>SUM(AG95/F95)</f>
        <v>4.9999999999999864E-2</v>
      </c>
    </row>
    <row r="96" spans="1:34">
      <c r="A96" t="str">
        <f>RIGHT(C96,3)</f>
        <v>285</v>
      </c>
      <c r="B96">
        <f>A96*1</f>
        <v>285</v>
      </c>
      <c r="C96" s="14" t="s">
        <v>80</v>
      </c>
      <c r="D96" s="299">
        <v>2843882.02</v>
      </c>
      <c r="E96" s="299">
        <v>347149.46</v>
      </c>
      <c r="F96" s="299">
        <f>D96+E96</f>
        <v>3191031.48</v>
      </c>
      <c r="G96" s="300">
        <v>429</v>
      </c>
      <c r="H96" s="301">
        <f>SUM(F96/G96)</f>
        <v>7438.3018181818179</v>
      </c>
      <c r="I96" s="302">
        <f>F96/$F$177</f>
        <v>1.8258672532789589E-3</v>
      </c>
      <c r="J96" s="303">
        <f>Calculations!AS72</f>
        <v>3302211.1732585677</v>
      </c>
      <c r="K96" s="5">
        <f>E96*1.091947</f>
        <v>379068.81139862002</v>
      </c>
      <c r="L96" s="5">
        <f>J96+K96</f>
        <v>3681279.9846571879</v>
      </c>
      <c r="M96" s="119">
        <v>429</v>
      </c>
      <c r="N96" s="55">
        <f>SUM(L96/M96)</f>
        <v>8581.0722253081312</v>
      </c>
      <c r="O96" s="33">
        <f>L96/$L$177</f>
        <v>1.9177793615429107E-3</v>
      </c>
      <c r="P96" s="180">
        <f>SUM(H96*'Front page'!$H$10)+H96</f>
        <v>7810.2169090909092</v>
      </c>
      <c r="Q96" s="180">
        <f>MIN(N96,P96)*M96</f>
        <v>3350583.054</v>
      </c>
      <c r="R96" s="187"/>
      <c r="S96" s="5">
        <f>L96-F96</f>
        <v>490248.50465718796</v>
      </c>
      <c r="T96" s="5" t="str">
        <f>IF(S96&lt;0,S96,"")</f>
        <v/>
      </c>
      <c r="U96" s="5">
        <f>SUM(Q96-F96)</f>
        <v>159551.57400000002</v>
      </c>
      <c r="V96" s="5">
        <f>SUM(Q96-L96)</f>
        <v>-330696.93065718794</v>
      </c>
      <c r="W96" s="52">
        <f>SUM(S96/F96)</f>
        <v>0.15363323982538335</v>
      </c>
      <c r="X96" s="6">
        <f>SUM(F96*$X$1)+F96</f>
        <v>3350583.054</v>
      </c>
      <c r="Y96" s="5">
        <f>MIN(L96,Q96)</f>
        <v>3350583.054</v>
      </c>
      <c r="Z96" s="54">
        <f>SUM(Y96-F96)</f>
        <v>159551.57400000002</v>
      </c>
      <c r="AA96" s="5">
        <f>SUM(Y96-L96)</f>
        <v>-330696.93065718794</v>
      </c>
      <c r="AB96" s="55">
        <f>SUM(F96*'Front page'!$H$11)+F96</f>
        <v>3286762.4243999999</v>
      </c>
      <c r="AC96" s="55">
        <f>MAX(AB96,L96)</f>
        <v>3681279.9846571879</v>
      </c>
      <c r="AD96" s="55">
        <f>MAX(Q96,AB96)</f>
        <v>3350583.054</v>
      </c>
      <c r="AE96" s="55">
        <f>SUM(AC96-F96)</f>
        <v>490248.50465718796</v>
      </c>
      <c r="AF96" s="53">
        <f>SUM(AE96/F96)</f>
        <v>0.15363323982538335</v>
      </c>
      <c r="AG96" s="313">
        <f>SUM(AD96-F96)</f>
        <v>159551.57400000002</v>
      </c>
      <c r="AH96" s="53">
        <f>SUM(AG96/F96)</f>
        <v>5.000000000000001E-2</v>
      </c>
    </row>
    <row r="97" spans="1:34">
      <c r="A97" t="str">
        <f>RIGHT(C97,3)</f>
        <v>111</v>
      </c>
      <c r="B97">
        <f>A97*1</f>
        <v>111</v>
      </c>
      <c r="C97" s="14" t="s">
        <v>36</v>
      </c>
      <c r="D97" s="299">
        <v>2852186.2300000004</v>
      </c>
      <c r="E97" s="299">
        <v>339513.04000000004</v>
      </c>
      <c r="F97" s="299">
        <f>D97+E97</f>
        <v>3191699.2700000005</v>
      </c>
      <c r="G97" s="300">
        <v>405.5</v>
      </c>
      <c r="H97" s="301">
        <f>SUM(F97/G97)</f>
        <v>7871.0216276202227</v>
      </c>
      <c r="I97" s="302">
        <f>F97/$F$177</f>
        <v>1.8262493541453121E-3</v>
      </c>
      <c r="J97" s="303">
        <f>Calculations!AS28</f>
        <v>3203820.5690674409</v>
      </c>
      <c r="K97" s="5">
        <f>E97*1.091947</f>
        <v>370730.24548888003</v>
      </c>
      <c r="L97" s="5">
        <f>J97+K97</f>
        <v>3574550.8145563211</v>
      </c>
      <c r="M97" s="119">
        <v>405.5</v>
      </c>
      <c r="N97" s="55">
        <f>SUM(L97/M97)</f>
        <v>8815.1684699292746</v>
      </c>
      <c r="O97" s="33">
        <f>L97/$L$177</f>
        <v>1.8621783204520073E-3</v>
      </c>
      <c r="P97" s="180">
        <f>SUM(H97*'Front page'!$H$10)+H97</f>
        <v>8264.5727090012333</v>
      </c>
      <c r="Q97" s="180">
        <f>MIN(N97,P97)*M97</f>
        <v>3351284.2335000001</v>
      </c>
      <c r="R97" s="187"/>
      <c r="S97" s="5">
        <f>L97-F97</f>
        <v>382851.54455632064</v>
      </c>
      <c r="T97" s="5" t="str">
        <f>IF(S97&lt;0,S97,"")</f>
        <v/>
      </c>
      <c r="U97" s="5">
        <f>SUM(Q97-F97)</f>
        <v>159584.96349999961</v>
      </c>
      <c r="V97" s="5">
        <f>SUM(Q97-L97)</f>
        <v>-223266.58105632104</v>
      </c>
      <c r="W97" s="52">
        <f>SUM(S97/F97)</f>
        <v>0.11995226121548744</v>
      </c>
      <c r="X97" s="6">
        <f>SUM(F97*$X$1)+F97</f>
        <v>3351284.2335000006</v>
      </c>
      <c r="Y97" s="5">
        <f>MIN(L97,Q97)</f>
        <v>3351284.2335000001</v>
      </c>
      <c r="Z97" s="54">
        <f>SUM(Y97-F97)</f>
        <v>159584.96349999961</v>
      </c>
      <c r="AA97" s="5">
        <f>SUM(Y97-L97)</f>
        <v>-223266.58105632104</v>
      </c>
      <c r="AB97" s="55">
        <f>SUM(F97*'Front page'!$H$11)+F97</f>
        <v>3287450.2481000004</v>
      </c>
      <c r="AC97" s="55">
        <f>MAX(AB97,L97)</f>
        <v>3574550.8145563211</v>
      </c>
      <c r="AD97" s="55">
        <f>MAX(Q97,AB97)</f>
        <v>3351284.2335000001</v>
      </c>
      <c r="AE97" s="55">
        <f>SUM(AC97-F97)</f>
        <v>382851.54455632064</v>
      </c>
      <c r="AF97" s="53">
        <f>SUM(AE97/F97)</f>
        <v>0.11995226121548744</v>
      </c>
      <c r="AG97" s="313">
        <f>SUM(AD97-F97)</f>
        <v>159584.96349999961</v>
      </c>
      <c r="AH97" s="53">
        <f>SUM(AG97/F97)</f>
        <v>4.9999999999999871E-2</v>
      </c>
    </row>
    <row r="98" spans="1:34">
      <c r="A98" s="27" t="str">
        <f>RIGHT(C98,3)</f>
        <v>490</v>
      </c>
      <c r="B98" s="27">
        <f>A98*1</f>
        <v>490</v>
      </c>
      <c r="C98" s="15" t="s">
        <v>161</v>
      </c>
      <c r="D98" s="299">
        <v>3413945.59</v>
      </c>
      <c r="E98" s="299">
        <v>669644.07000000007</v>
      </c>
      <c r="F98" s="299">
        <f>D98+E98</f>
        <v>4083589.66</v>
      </c>
      <c r="G98" s="300">
        <v>509.5</v>
      </c>
      <c r="H98" s="301">
        <f>SUM(F98/G98)</f>
        <v>8014.8962904808641</v>
      </c>
      <c r="I98" s="302">
        <f>F98/$F$177</f>
        <v>2.3365775871388638E-3</v>
      </c>
      <c r="J98" s="303">
        <f>Calculations!AS153</f>
        <v>3512350.6692247121</v>
      </c>
      <c r="K98" s="5">
        <f>E98*1.091947</f>
        <v>731215.83330429008</v>
      </c>
      <c r="L98" s="5">
        <f>J98+K98</f>
        <v>4243566.5025290018</v>
      </c>
      <c r="M98" s="119">
        <v>509.5</v>
      </c>
      <c r="N98" s="55">
        <f>SUM(L98/M98)</f>
        <v>8328.884205159964</v>
      </c>
      <c r="O98" s="33">
        <f>L98/$L$177</f>
        <v>2.210705051450415E-3</v>
      </c>
      <c r="P98" s="180">
        <f>SUM(H98*'Front page'!$H$10)+H98</f>
        <v>8415.6411050049064</v>
      </c>
      <c r="Q98" s="180">
        <f>MIN(N98,P98)*M98</f>
        <v>4243566.5025290018</v>
      </c>
      <c r="R98" s="187"/>
      <c r="S98" s="5">
        <f>L98-F98</f>
        <v>159976.84252900165</v>
      </c>
      <c r="T98" s="5" t="str">
        <f>IF(S98&lt;0,S98,"")</f>
        <v/>
      </c>
      <c r="U98" s="5">
        <f>SUM(Q98-F98)</f>
        <v>159976.84252900165</v>
      </c>
      <c r="V98" s="5">
        <f>SUM(Q98-L98)</f>
        <v>0</v>
      </c>
      <c r="W98" s="52">
        <f>SUM(S98/F98)</f>
        <v>3.9175543051257908E-2</v>
      </c>
      <c r="X98" s="6">
        <f>SUM(F98*$X$1)+F98</f>
        <v>4287769.1430000002</v>
      </c>
      <c r="Y98" s="5">
        <f>MIN(L98,Q98)</f>
        <v>4243566.5025290018</v>
      </c>
      <c r="Z98" s="54">
        <f>SUM(Y98-F98)</f>
        <v>159976.84252900165</v>
      </c>
      <c r="AA98" s="5">
        <f>SUM(Y98-L98)</f>
        <v>0</v>
      </c>
      <c r="AB98" s="55">
        <f>SUM(F98*'Front page'!$H$11)+F98</f>
        <v>4206097.3498</v>
      </c>
      <c r="AC98" s="55">
        <f>MAX(AB98,L98)</f>
        <v>4243566.5025290018</v>
      </c>
      <c r="AD98" s="55">
        <f>MAX(Q98,AB98)</f>
        <v>4243566.5025290018</v>
      </c>
      <c r="AE98" s="55">
        <f>SUM(AC98-F98)</f>
        <v>159976.84252900165</v>
      </c>
      <c r="AF98" s="53">
        <f>SUM(AE98/F98)</f>
        <v>3.9175543051257908E-2</v>
      </c>
      <c r="AG98" s="313">
        <f>SUM(AD98-F98)</f>
        <v>159976.84252900165</v>
      </c>
      <c r="AH98" s="53">
        <f>SUM(AG98/F98)</f>
        <v>3.9175543051257908E-2</v>
      </c>
    </row>
    <row r="99" spans="1:34">
      <c r="A99" s="27" t="str">
        <f>RIGHT(C99,3)</f>
        <v>460</v>
      </c>
      <c r="B99" s="27">
        <f>A99*1</f>
        <v>460</v>
      </c>
      <c r="C99" s="15" t="s">
        <v>134</v>
      </c>
      <c r="D99" s="299">
        <v>2857944.61</v>
      </c>
      <c r="E99" s="299">
        <v>348733.91000000003</v>
      </c>
      <c r="F99" s="299">
        <f>D99+E99</f>
        <v>3206678.52</v>
      </c>
      <c r="G99" s="300">
        <v>527</v>
      </c>
      <c r="H99" s="301">
        <f>SUM(F99/G99)</f>
        <v>6084.7789753320685</v>
      </c>
      <c r="I99" s="302">
        <f>F99/$F$177</f>
        <v>1.8348202887240202E-3</v>
      </c>
      <c r="J99" s="303">
        <f>Calculations!AS126</f>
        <v>3325744.1282058209</v>
      </c>
      <c r="K99" s="5">
        <f>E99*1.091947</f>
        <v>380798.94682277006</v>
      </c>
      <c r="L99" s="5">
        <f>J99+K99</f>
        <v>3706543.0750285909</v>
      </c>
      <c r="M99" s="119">
        <v>527</v>
      </c>
      <c r="N99" s="55">
        <f>SUM(L99/M99)</f>
        <v>7033.288567416681</v>
      </c>
      <c r="O99" s="33">
        <f>L99/$L$177</f>
        <v>1.9309402820719104E-3</v>
      </c>
      <c r="P99" s="180">
        <f>SUM(H99*'Front page'!$H$10)+H99</f>
        <v>6389.0179240986718</v>
      </c>
      <c r="Q99" s="180">
        <f>MIN(N99,P99)*M99</f>
        <v>3367012.446</v>
      </c>
      <c r="R99" s="187"/>
      <c r="S99" s="5">
        <f>L99-F99</f>
        <v>499864.55502859084</v>
      </c>
      <c r="T99" s="5" t="str">
        <f>IF(S99&lt;0,S99,"")</f>
        <v/>
      </c>
      <c r="U99" s="5">
        <f>SUM(Q99-F99)</f>
        <v>160333.92599999998</v>
      </c>
      <c r="V99" s="5">
        <f>SUM(Q99-L99)</f>
        <v>-339530.62902859086</v>
      </c>
      <c r="W99" s="52">
        <f>SUM(S99/F99)</f>
        <v>0.15588234115485666</v>
      </c>
      <c r="X99" s="6">
        <f>SUM(F99*$X$1)+F99</f>
        <v>3367012.446</v>
      </c>
      <c r="Y99" s="5">
        <f>MIN(L99,Q99)</f>
        <v>3367012.446</v>
      </c>
      <c r="Z99" s="54">
        <f>SUM(Y99-F99)</f>
        <v>160333.92599999998</v>
      </c>
      <c r="AA99" s="5">
        <f>SUM(Y99-L99)</f>
        <v>-339530.62902859086</v>
      </c>
      <c r="AB99" s="55">
        <f>SUM(F99*'Front page'!$H$11)+F99</f>
        <v>3302878.8755999999</v>
      </c>
      <c r="AC99" s="55">
        <f>MAX(AB99,L99)</f>
        <v>3706543.0750285909</v>
      </c>
      <c r="AD99" s="55">
        <f>MAX(Q99,AB99)</f>
        <v>3367012.446</v>
      </c>
      <c r="AE99" s="55">
        <f>SUM(AC99-F99)</f>
        <v>499864.55502859084</v>
      </c>
      <c r="AF99" s="53">
        <f>SUM(AE99/F99)</f>
        <v>0.15588234115485666</v>
      </c>
      <c r="AG99" s="313">
        <f>SUM(AD99-F99)</f>
        <v>160333.92599999998</v>
      </c>
      <c r="AH99" s="53">
        <f>SUM(AG99/F99)</f>
        <v>4.9999999999999996E-2</v>
      </c>
    </row>
    <row r="100" spans="1:34">
      <c r="A100" t="str">
        <f>RIGHT(C100,3)</f>
        <v>135</v>
      </c>
      <c r="B100">
        <f>A100*1</f>
        <v>135</v>
      </c>
      <c r="C100" s="14" t="s">
        <v>42</v>
      </c>
      <c r="D100" s="299">
        <v>2836218</v>
      </c>
      <c r="E100" s="299">
        <v>408494</v>
      </c>
      <c r="F100" s="299">
        <f>D100+E100</f>
        <v>3244712</v>
      </c>
      <c r="G100" s="300">
        <v>399.5</v>
      </c>
      <c r="H100" s="301">
        <f>SUM(F100/G100)</f>
        <v>8121.932415519399</v>
      </c>
      <c r="I100" s="302">
        <f>F100/$F$177</f>
        <v>1.8565825577882664E-3</v>
      </c>
      <c r="J100" s="303">
        <f>Calculations!AS34</f>
        <v>3220349.8974319259</v>
      </c>
      <c r="K100" s="5">
        <f>E100*1.091947</f>
        <v>446053.79781800002</v>
      </c>
      <c r="L100" s="5">
        <f>J100+K100</f>
        <v>3666403.6952499258</v>
      </c>
      <c r="M100" s="119">
        <v>399.5</v>
      </c>
      <c r="N100" s="55">
        <f>SUM(L100/M100)</f>
        <v>9177.4810894866732</v>
      </c>
      <c r="O100" s="33">
        <f>L100/$L$177</f>
        <v>1.910029491682294E-3</v>
      </c>
      <c r="P100" s="180">
        <f>SUM(H100*'Front page'!$H$10)+H100</f>
        <v>8528.0290362953692</v>
      </c>
      <c r="Q100" s="180">
        <f>MIN(N100,P100)*M100</f>
        <v>3406947.6</v>
      </c>
      <c r="R100" s="187"/>
      <c r="S100" s="5">
        <f>L100-F100</f>
        <v>421691.69524992583</v>
      </c>
      <c r="T100" s="5" t="str">
        <f>IF(S100&lt;0,S100,"")</f>
        <v/>
      </c>
      <c r="U100" s="5">
        <f>SUM(Q100-F100)</f>
        <v>162235.60000000009</v>
      </c>
      <c r="V100" s="5">
        <f>SUM(Q100-L100)</f>
        <v>-259456.09524992574</v>
      </c>
      <c r="W100" s="52">
        <f>SUM(S100/F100)</f>
        <v>0.12996275023790271</v>
      </c>
      <c r="X100" s="6">
        <f>SUM(F100*$X$1)+F100</f>
        <v>3406947.6</v>
      </c>
      <c r="Y100" s="5">
        <f>MIN(L100,Q100)</f>
        <v>3406947.6</v>
      </c>
      <c r="Z100" s="54">
        <f>SUM(Y100-F100)</f>
        <v>162235.60000000009</v>
      </c>
      <c r="AA100" s="5">
        <f>SUM(Y100-L100)</f>
        <v>-259456.09524992574</v>
      </c>
      <c r="AB100" s="55">
        <f>SUM(F100*'Front page'!$H$11)+F100</f>
        <v>3342053.36</v>
      </c>
      <c r="AC100" s="55">
        <f>MAX(AB100,L100)</f>
        <v>3666403.6952499258</v>
      </c>
      <c r="AD100" s="55">
        <f>MAX(Q100,AB100)</f>
        <v>3406947.6</v>
      </c>
      <c r="AE100" s="55">
        <f>SUM(AC100-F100)</f>
        <v>421691.69524992583</v>
      </c>
      <c r="AF100" s="53">
        <f>SUM(AE100/F100)</f>
        <v>0.12996275023790271</v>
      </c>
      <c r="AG100" s="313">
        <f>SUM(AD100-F100)</f>
        <v>162235.60000000009</v>
      </c>
      <c r="AH100" s="53">
        <f>SUM(AG100/F100)</f>
        <v>5.0000000000000031E-2</v>
      </c>
    </row>
    <row r="101" spans="1:34">
      <c r="A101" t="str">
        <f>RIGHT(C101,3)</f>
        <v>365</v>
      </c>
      <c r="B101">
        <f>A101*1</f>
        <v>365</v>
      </c>
      <c r="C101" s="14" t="s">
        <v>100</v>
      </c>
      <c r="D101" s="299">
        <v>2154741.58</v>
      </c>
      <c r="E101" s="299">
        <v>1101757.1599999999</v>
      </c>
      <c r="F101" s="299">
        <f>D101+E101</f>
        <v>3256498.74</v>
      </c>
      <c r="G101" s="300">
        <v>293.5</v>
      </c>
      <c r="H101" s="301">
        <f>SUM(F101/G101)</f>
        <v>11095.396047700171</v>
      </c>
      <c r="I101" s="302">
        <f>F101/$F$177</f>
        <v>1.86332677912353E-3</v>
      </c>
      <c r="J101" s="303">
        <f>Calculations!AS92</f>
        <v>2676551.7461207421</v>
      </c>
      <c r="K101" s="5">
        <f>E101*1.091947</f>
        <v>1203060.4255905198</v>
      </c>
      <c r="L101" s="5">
        <f>J101+K101</f>
        <v>3879612.1717112618</v>
      </c>
      <c r="M101" s="119">
        <v>293.5</v>
      </c>
      <c r="N101" s="55">
        <f>SUM(L101/M101)</f>
        <v>13218.440108045184</v>
      </c>
      <c r="O101" s="33">
        <f>L101/$L$177</f>
        <v>2.0211014062249837E-3</v>
      </c>
      <c r="P101" s="180">
        <f>SUM(H101*'Front page'!$H$10)+H101</f>
        <v>11650.165850085179</v>
      </c>
      <c r="Q101" s="180">
        <f>MIN(N101,P101)*M101</f>
        <v>3419323.6770000001</v>
      </c>
      <c r="R101" s="187"/>
      <c r="S101" s="5">
        <f>L101-F101</f>
        <v>623113.43171126163</v>
      </c>
      <c r="T101" s="5" t="str">
        <f>IF(S101&lt;0,S101,"")</f>
        <v/>
      </c>
      <c r="U101" s="5">
        <f>SUM(Q101-F101)</f>
        <v>162824.93699999992</v>
      </c>
      <c r="V101" s="5">
        <f>SUM(Q101-L101)</f>
        <v>-460288.49471126171</v>
      </c>
      <c r="W101" s="52">
        <f>SUM(S101/F101)</f>
        <v>0.19134459475063748</v>
      </c>
      <c r="X101" s="6">
        <f>SUM(F101*$X$1)+F101</f>
        <v>3419323.6770000001</v>
      </c>
      <c r="Y101" s="5">
        <f>MIN(L101,Q101)</f>
        <v>3419323.6770000001</v>
      </c>
      <c r="Z101" s="54">
        <f>SUM(Y101-F101)</f>
        <v>162824.93699999992</v>
      </c>
      <c r="AA101" s="5">
        <f>SUM(Y101-L101)</f>
        <v>-460288.49471126171</v>
      </c>
      <c r="AB101" s="55">
        <f>SUM(F101*'Front page'!$H$11)+F101</f>
        <v>3354193.7022000002</v>
      </c>
      <c r="AC101" s="55">
        <f>MAX(AB101,L101)</f>
        <v>3879612.1717112618</v>
      </c>
      <c r="AD101" s="55">
        <f>MAX(Q101,AB101)</f>
        <v>3419323.6770000001</v>
      </c>
      <c r="AE101" s="55">
        <f>SUM(AC101-F101)</f>
        <v>623113.43171126163</v>
      </c>
      <c r="AF101" s="53">
        <f>SUM(AE101/F101)</f>
        <v>0.19134459475063748</v>
      </c>
      <c r="AG101" s="313">
        <f>SUM(AD101-F101)</f>
        <v>162824.93699999992</v>
      </c>
      <c r="AH101" s="53">
        <f>SUM(AG101/F101)</f>
        <v>4.9999999999999968E-2</v>
      </c>
    </row>
    <row r="102" spans="1:34">
      <c r="A102" t="str">
        <f>RIGHT(C102,3)</f>
        <v>341</v>
      </c>
      <c r="B102">
        <f>A102*1</f>
        <v>341</v>
      </c>
      <c r="C102" s="14" t="s">
        <v>95</v>
      </c>
      <c r="D102" s="299">
        <v>2976903.4</v>
      </c>
      <c r="E102" s="299">
        <v>416509.65</v>
      </c>
      <c r="F102" s="299">
        <f>D102+E102</f>
        <v>3393413.05</v>
      </c>
      <c r="G102" s="300">
        <v>467.5</v>
      </c>
      <c r="H102" s="301">
        <f>SUM(F102/G102)</f>
        <v>7258.6375401069517</v>
      </c>
      <c r="I102" s="302">
        <f>F102/$F$177</f>
        <v>1.9416673898950299E-3</v>
      </c>
      <c r="J102" s="303">
        <f>Calculations!AS87</f>
        <v>3510777.5916983802</v>
      </c>
      <c r="K102" s="5">
        <f>E102*1.091947</f>
        <v>454806.46278855001</v>
      </c>
      <c r="L102" s="5">
        <f>J102+K102</f>
        <v>3965584.0544869304</v>
      </c>
      <c r="M102" s="119">
        <v>467.5</v>
      </c>
      <c r="N102" s="55">
        <f>SUM(L102/M102)</f>
        <v>8482.5327368704402</v>
      </c>
      <c r="O102" s="33">
        <f>L102/$L$177</f>
        <v>2.0658888451449598E-3</v>
      </c>
      <c r="P102" s="180">
        <f>SUM(H102*'Front page'!$H$10)+H102</f>
        <v>7621.5694171122996</v>
      </c>
      <c r="Q102" s="180">
        <f>MIN(N102,P102)*M102</f>
        <v>3563083.7025000001</v>
      </c>
      <c r="R102" s="187"/>
      <c r="S102" s="5">
        <f>L102-F102</f>
        <v>572171.00448693056</v>
      </c>
      <c r="T102" s="5" t="str">
        <f>IF(S102&lt;0,S102,"")</f>
        <v/>
      </c>
      <c r="U102" s="5">
        <f>SUM(Q102-F102)</f>
        <v>169670.65250000032</v>
      </c>
      <c r="V102" s="5">
        <f>SUM(Q102-L102)</f>
        <v>-402500.35198693024</v>
      </c>
      <c r="W102" s="52">
        <f>SUM(S102/F102)</f>
        <v>0.16861224851095877</v>
      </c>
      <c r="X102" s="6">
        <f>SUM(F102*$X$1)+F102</f>
        <v>3563083.7024999997</v>
      </c>
      <c r="Y102" s="5">
        <f>MIN(L102,Q102)</f>
        <v>3563083.7025000001</v>
      </c>
      <c r="Z102" s="54">
        <f>SUM(Y102-F102)</f>
        <v>169670.65250000032</v>
      </c>
      <c r="AA102" s="5">
        <f>SUM(Y102-L102)</f>
        <v>-402500.35198693024</v>
      </c>
      <c r="AB102" s="55">
        <f>SUM(F102*'Front page'!$H$11)+F102</f>
        <v>3495215.4414999997</v>
      </c>
      <c r="AC102" s="55">
        <f>MAX(AB102,L102)</f>
        <v>3965584.0544869304</v>
      </c>
      <c r="AD102" s="55">
        <f>MAX(Q102,AB102)</f>
        <v>3563083.7025000001</v>
      </c>
      <c r="AE102" s="55">
        <f>SUM(AC102-F102)</f>
        <v>572171.00448693056</v>
      </c>
      <c r="AF102" s="53">
        <f>SUM(AE102/F102)</f>
        <v>0.16861224851095877</v>
      </c>
      <c r="AG102" s="313">
        <f>SUM(AD102-F102)</f>
        <v>169670.65250000032</v>
      </c>
      <c r="AH102" s="53">
        <f>SUM(AG102/F102)</f>
        <v>5.0000000000000093E-2</v>
      </c>
    </row>
    <row r="103" spans="1:34">
      <c r="A103" t="str">
        <f>RIGHT(C103,3)</f>
        <v>393</v>
      </c>
      <c r="B103">
        <f>A103*1</f>
        <v>393</v>
      </c>
      <c r="C103" s="14" t="s">
        <v>110</v>
      </c>
      <c r="D103" s="299">
        <v>3015114.1100000003</v>
      </c>
      <c r="E103" s="299">
        <v>388502.96</v>
      </c>
      <c r="F103" s="299">
        <f>D103+E103</f>
        <v>3403617.0700000003</v>
      </c>
      <c r="G103" s="300">
        <v>461.5</v>
      </c>
      <c r="H103" s="301">
        <f>SUM(F103/G103)</f>
        <v>7375.1182448537384</v>
      </c>
      <c r="I103" s="302">
        <f>F103/$F$177</f>
        <v>1.9475059991618381E-3</v>
      </c>
      <c r="J103" s="303">
        <f>Calculations!AS102</f>
        <v>3457394.1315891957</v>
      </c>
      <c r="K103" s="5">
        <f>E103*1.091947</f>
        <v>424224.64166312001</v>
      </c>
      <c r="L103" s="5">
        <f>J103+K103</f>
        <v>3881618.7732523158</v>
      </c>
      <c r="M103" s="119">
        <v>461.5</v>
      </c>
      <c r="N103" s="55">
        <f>SUM(L103/M103)</f>
        <v>8410.8749149562645</v>
      </c>
      <c r="O103" s="33">
        <f>L103/$L$177</f>
        <v>2.0221467543208396E-3</v>
      </c>
      <c r="P103" s="180">
        <f>SUM(H103*'Front page'!$H$10)+H103</f>
        <v>7743.8741570964248</v>
      </c>
      <c r="Q103" s="180">
        <f>MIN(N103,P103)*M103</f>
        <v>3573797.9235</v>
      </c>
      <c r="R103" s="187"/>
      <c r="S103" s="5">
        <f>L103-F103</f>
        <v>478001.70325231552</v>
      </c>
      <c r="T103" s="5" t="str">
        <f>IF(S103&lt;0,S103,"")</f>
        <v/>
      </c>
      <c r="U103" s="5">
        <f>SUM(Q103-F103)</f>
        <v>170180.85349999974</v>
      </c>
      <c r="V103" s="5">
        <f>SUM(Q103-L103)</f>
        <v>-307820.84975231579</v>
      </c>
      <c r="W103" s="52">
        <f>SUM(S103/F103)</f>
        <v>0.14043933069483502</v>
      </c>
      <c r="X103" s="6">
        <f>SUM(F103*$X$1)+F103</f>
        <v>3573797.9235000005</v>
      </c>
      <c r="Y103" s="5">
        <f>MIN(L103,Q103)</f>
        <v>3573797.9235</v>
      </c>
      <c r="Z103" s="54">
        <f>SUM(Y103-F103)</f>
        <v>170180.85349999974</v>
      </c>
      <c r="AA103" s="5">
        <f>SUM(Y103-L103)</f>
        <v>-307820.84975231579</v>
      </c>
      <c r="AB103" s="55">
        <f>SUM(F103*'Front page'!$H$11)+F103</f>
        <v>3505725.5821000002</v>
      </c>
      <c r="AC103" s="55">
        <f>MAX(AB103,L103)</f>
        <v>3881618.7732523158</v>
      </c>
      <c r="AD103" s="55">
        <f>MAX(Q103,AB103)</f>
        <v>3573797.9235</v>
      </c>
      <c r="AE103" s="55">
        <f>SUM(AC103-F103)</f>
        <v>478001.70325231552</v>
      </c>
      <c r="AF103" s="53">
        <f>SUM(AE103/F103)</f>
        <v>0.14043933069483502</v>
      </c>
      <c r="AG103" s="313">
        <f>SUM(AD103-F103)</f>
        <v>170180.85349999974</v>
      </c>
      <c r="AH103" s="53">
        <f>SUM(AG103/F103)</f>
        <v>4.999999999999992E-2</v>
      </c>
    </row>
    <row r="104" spans="1:34">
      <c r="A104" s="27" t="str">
        <f>RIGHT(C104,3)</f>
        <v>476</v>
      </c>
      <c r="B104" s="27">
        <f>A104*1</f>
        <v>476</v>
      </c>
      <c r="C104" s="15" t="s">
        <v>148</v>
      </c>
      <c r="D104" s="299">
        <v>3316890.47</v>
      </c>
      <c r="E104" s="299">
        <v>277436.02</v>
      </c>
      <c r="F104" s="299">
        <f>D104+E104</f>
        <v>3594326.49</v>
      </c>
      <c r="G104" s="300">
        <v>509.5</v>
      </c>
      <c r="H104" s="301">
        <f>SUM(F104/G104)</f>
        <v>7054.6152894995093</v>
      </c>
      <c r="I104" s="302">
        <f>F104/$F$177</f>
        <v>2.0566274813697866E-3</v>
      </c>
      <c r="J104" s="303">
        <f>Calculations!AS140</f>
        <v>3842821.0541660786</v>
      </c>
      <c r="K104" s="5">
        <f>E104*1.091947</f>
        <v>302945.42973094003</v>
      </c>
      <c r="L104" s="5">
        <f>J104+K104</f>
        <v>4145766.4838970187</v>
      </c>
      <c r="M104" s="119">
        <v>509.5</v>
      </c>
      <c r="N104" s="55">
        <f>SUM(L104/M104)</f>
        <v>8136.9312735957192</v>
      </c>
      <c r="O104" s="33">
        <f>L104/$L$177</f>
        <v>2.1597556919687576E-3</v>
      </c>
      <c r="P104" s="180">
        <f>SUM(H104*'Front page'!$H$10)+H104</f>
        <v>7407.3460539744847</v>
      </c>
      <c r="Q104" s="180">
        <f>MIN(N104,P104)*M104</f>
        <v>3774042.8144999999</v>
      </c>
      <c r="R104" s="187"/>
      <c r="S104" s="5">
        <f>L104-F104</f>
        <v>551439.99389701849</v>
      </c>
      <c r="T104" s="5" t="str">
        <f>IF(S104&lt;0,S104,"")</f>
        <v/>
      </c>
      <c r="U104" s="5">
        <f>SUM(Q104-F104)</f>
        <v>179716.32449999964</v>
      </c>
      <c r="V104" s="5">
        <f>SUM(Q104-L104)</f>
        <v>-371723.66939701885</v>
      </c>
      <c r="W104" s="52">
        <f>SUM(S104/F104)</f>
        <v>0.15341956147590211</v>
      </c>
      <c r="X104" s="6">
        <f>SUM(F104*$X$1)+F104</f>
        <v>3774042.8145000003</v>
      </c>
      <c r="Y104" s="5">
        <f>MIN(L104,Q104)</f>
        <v>3774042.8144999999</v>
      </c>
      <c r="Z104" s="54">
        <f>SUM(Y104-F104)</f>
        <v>179716.32449999964</v>
      </c>
      <c r="AA104" s="5">
        <f>SUM(Y104-L104)</f>
        <v>-371723.66939701885</v>
      </c>
      <c r="AB104" s="55">
        <f>SUM(F104*'Front page'!$H$11)+F104</f>
        <v>3702156.2847000002</v>
      </c>
      <c r="AC104" s="55">
        <f>MAX(AB104,L104)</f>
        <v>4145766.4838970187</v>
      </c>
      <c r="AD104" s="55">
        <f>MAX(Q104,AB104)</f>
        <v>3774042.8144999999</v>
      </c>
      <c r="AE104" s="55">
        <f>SUM(AC104-F104)</f>
        <v>551439.99389701849</v>
      </c>
      <c r="AF104" s="53">
        <f>SUM(AE104/F104)</f>
        <v>0.15341956147590211</v>
      </c>
      <c r="AG104" s="313">
        <f>SUM(AD104-F104)</f>
        <v>179716.32449999964</v>
      </c>
      <c r="AH104" s="53">
        <f>SUM(AG104/F104)</f>
        <v>4.9999999999999899E-2</v>
      </c>
    </row>
    <row r="105" spans="1:34">
      <c r="A105" t="str">
        <f>RIGHT(C105,3)</f>
        <v>312</v>
      </c>
      <c r="B105">
        <f>A105*1</f>
        <v>312</v>
      </c>
      <c r="C105" s="14" t="s">
        <v>88</v>
      </c>
      <c r="D105" s="299">
        <v>3331373.49</v>
      </c>
      <c r="E105" s="299">
        <v>301065.34999999998</v>
      </c>
      <c r="F105" s="299">
        <f>D105+E105</f>
        <v>3632438.8400000003</v>
      </c>
      <c r="G105" s="300">
        <v>500</v>
      </c>
      <c r="H105" s="301">
        <f>SUM(F105/G105)</f>
        <v>7264.8776800000005</v>
      </c>
      <c r="I105" s="302">
        <f>F105/$F$177</f>
        <v>2.0784348788356697E-3</v>
      </c>
      <c r="J105" s="303">
        <f>Calculations!AS80</f>
        <v>3667429.3125472711</v>
      </c>
      <c r="K105" s="5">
        <f>E105*1.091947</f>
        <v>328747.40573644999</v>
      </c>
      <c r="L105" s="5">
        <f>J105+K105</f>
        <v>3996176.7182837212</v>
      </c>
      <c r="M105" s="119">
        <v>500</v>
      </c>
      <c r="N105" s="55">
        <f>SUM(L105/M105)</f>
        <v>7992.3534365674423</v>
      </c>
      <c r="O105" s="33">
        <f>L105/$L$177</f>
        <v>2.0818262309152979E-3</v>
      </c>
      <c r="P105" s="180">
        <f>SUM(H105*'Front page'!$H$10)+H105</f>
        <v>7628.1215640000009</v>
      </c>
      <c r="Q105" s="180">
        <f>MIN(N105,P105)*M105</f>
        <v>3814060.7820000006</v>
      </c>
      <c r="R105" s="187"/>
      <c r="S105" s="5">
        <f>L105-F105</f>
        <v>363737.87828372093</v>
      </c>
      <c r="T105" s="5" t="str">
        <f>IF(S105&lt;0,S105,"")</f>
        <v/>
      </c>
      <c r="U105" s="5">
        <f>SUM(Q105-F105)</f>
        <v>181621.94200000027</v>
      </c>
      <c r="V105" s="5">
        <f>SUM(Q105-L105)</f>
        <v>-182115.93628372066</v>
      </c>
      <c r="W105" s="52">
        <f>SUM(S105/F105)</f>
        <v>0.10013599521023757</v>
      </c>
      <c r="X105" s="6">
        <f>SUM(F105*$X$1)+F105</f>
        <v>3814060.7820000006</v>
      </c>
      <c r="Y105" s="5">
        <f>MIN(L105,Q105)</f>
        <v>3814060.7820000006</v>
      </c>
      <c r="Z105" s="54">
        <f>SUM(Y105-F105)</f>
        <v>181621.94200000027</v>
      </c>
      <c r="AA105" s="5">
        <f>SUM(Y105-L105)</f>
        <v>-182115.93628372066</v>
      </c>
      <c r="AB105" s="55">
        <f>SUM(F105*'Front page'!$H$11)+F105</f>
        <v>3741412.0052000005</v>
      </c>
      <c r="AC105" s="55">
        <f>MAX(AB105,L105)</f>
        <v>3996176.7182837212</v>
      </c>
      <c r="AD105" s="55">
        <f>MAX(Q105,AB105)</f>
        <v>3814060.7820000006</v>
      </c>
      <c r="AE105" s="55">
        <f>SUM(AC105-F105)</f>
        <v>363737.87828372093</v>
      </c>
      <c r="AF105" s="53">
        <f>SUM(AE105/F105)</f>
        <v>0.10013599521023757</v>
      </c>
      <c r="AG105" s="313">
        <f>SUM(AD105-F105)</f>
        <v>181621.94200000027</v>
      </c>
      <c r="AH105" s="53">
        <f>SUM(AG105/F105)</f>
        <v>5.0000000000000072E-2</v>
      </c>
    </row>
    <row r="106" spans="1:34">
      <c r="A106" t="str">
        <f>RIGHT(C106,3)</f>
        <v>133</v>
      </c>
      <c r="B106">
        <f>A106*1</f>
        <v>133</v>
      </c>
      <c r="C106" s="14" t="s">
        <v>40</v>
      </c>
      <c r="D106" s="299">
        <v>3153707</v>
      </c>
      <c r="E106" s="299">
        <v>480360</v>
      </c>
      <c r="F106" s="299">
        <f>D106+E106</f>
        <v>3634067</v>
      </c>
      <c r="G106" s="300">
        <v>485.5</v>
      </c>
      <c r="H106" s="301">
        <f>SUM(F106/G106)</f>
        <v>7485.2049433573638</v>
      </c>
      <c r="I106" s="302">
        <f>F106/$F$177</f>
        <v>2.0793664910888645E-3</v>
      </c>
      <c r="J106" s="303">
        <f>Calculations!AS32</f>
        <v>3611245.0776328486</v>
      </c>
      <c r="K106" s="5">
        <f>E106*1.091947</f>
        <v>524527.66092000005</v>
      </c>
      <c r="L106" s="5">
        <f>J106+K106</f>
        <v>4135772.7385528488</v>
      </c>
      <c r="M106" s="119">
        <v>485.5</v>
      </c>
      <c r="N106" s="55">
        <f>SUM(L106/M106)</f>
        <v>8518.5844254435615</v>
      </c>
      <c r="O106" s="33">
        <f>L106/$L$177</f>
        <v>2.1545494053930437E-3</v>
      </c>
      <c r="P106" s="180">
        <f>SUM(H106*'Front page'!$H$10)+H106</f>
        <v>7859.4651905252322</v>
      </c>
      <c r="Q106" s="180">
        <f>MIN(N106,P106)*M106</f>
        <v>3815770.35</v>
      </c>
      <c r="R106" s="187"/>
      <c r="S106" s="5">
        <f>L106-F106</f>
        <v>501705.73855284881</v>
      </c>
      <c r="T106" s="5" t="str">
        <f>IF(S106&lt;0,S106,"")</f>
        <v/>
      </c>
      <c r="U106" s="5">
        <f>SUM(Q106-F106)</f>
        <v>181703.35000000009</v>
      </c>
      <c r="V106" s="5">
        <f>SUM(Q106-L106)</f>
        <v>-320002.38855284872</v>
      </c>
      <c r="W106" s="52">
        <f>SUM(S106/F106)</f>
        <v>0.13805627099138482</v>
      </c>
      <c r="X106" s="6">
        <f>SUM(F106*$X$1)+F106</f>
        <v>3815770.35</v>
      </c>
      <c r="Y106" s="5">
        <f>MIN(L106,Q106)</f>
        <v>3815770.35</v>
      </c>
      <c r="Z106" s="54">
        <f>SUM(Y106-F106)</f>
        <v>181703.35000000009</v>
      </c>
      <c r="AA106" s="5">
        <f>SUM(Y106-L106)</f>
        <v>-320002.38855284872</v>
      </c>
      <c r="AB106" s="55">
        <f>SUM(F106*'Front page'!$H$11)+F106</f>
        <v>3743089.01</v>
      </c>
      <c r="AC106" s="55">
        <f>MAX(AB106,L106)</f>
        <v>4135772.7385528488</v>
      </c>
      <c r="AD106" s="55">
        <f>MAX(Q106,AB106)</f>
        <v>3815770.35</v>
      </c>
      <c r="AE106" s="55">
        <f>SUM(AC106-F106)</f>
        <v>501705.73855284881</v>
      </c>
      <c r="AF106" s="53">
        <f>SUM(AE106/F106)</f>
        <v>0.13805627099138482</v>
      </c>
      <c r="AG106" s="313">
        <f>SUM(AD106-F106)</f>
        <v>181703.35000000009</v>
      </c>
      <c r="AH106" s="53">
        <f>SUM(AG106/F106)</f>
        <v>5.0000000000000024E-2</v>
      </c>
    </row>
    <row r="107" spans="1:34">
      <c r="A107" t="str">
        <f>RIGHT(C107,3)</f>
        <v>244</v>
      </c>
      <c r="B107">
        <f>A107*1</f>
        <v>244</v>
      </c>
      <c r="C107" s="14" t="s">
        <v>67</v>
      </c>
      <c r="D107" s="299">
        <v>7474207.4700000007</v>
      </c>
      <c r="E107" s="299">
        <v>1016692.22</v>
      </c>
      <c r="F107" s="299">
        <f>D107+E107</f>
        <v>8490899.6900000013</v>
      </c>
      <c r="G107" s="300">
        <v>1249.5</v>
      </c>
      <c r="H107" s="301">
        <f>SUM(F107/G107)</f>
        <v>6795.4379271708694</v>
      </c>
      <c r="I107" s="302">
        <f>F107/$F$177</f>
        <v>4.8583838147680906E-3</v>
      </c>
      <c r="J107" s="303">
        <f>Calculations!AS59</f>
        <v>7563318.7358620493</v>
      </c>
      <c r="K107" s="5">
        <f>E107*1.091947</f>
        <v>1110174.01955234</v>
      </c>
      <c r="L107" s="5">
        <f>J107+K107</f>
        <v>8673492.7554143891</v>
      </c>
      <c r="M107" s="119">
        <v>1249.5</v>
      </c>
      <c r="N107" s="55">
        <f>SUM(L107/M107)</f>
        <v>6941.5708326645772</v>
      </c>
      <c r="O107" s="33">
        <f>L107/$L$177</f>
        <v>4.5184950528490333E-3</v>
      </c>
      <c r="P107" s="180">
        <f>SUM(H107*'Front page'!$H$10)+H107</f>
        <v>7135.2098235294125</v>
      </c>
      <c r="Q107" s="180">
        <f>MIN(N107,P107)*M107</f>
        <v>8673492.7554143891</v>
      </c>
      <c r="R107" s="187"/>
      <c r="S107" s="5">
        <f>L107-F107</f>
        <v>182593.06541438773</v>
      </c>
      <c r="T107" s="5" t="str">
        <f>IF(S107&lt;0,S107,"")</f>
        <v/>
      </c>
      <c r="U107" s="5">
        <f>SUM(Q107-F107)</f>
        <v>182593.06541438773</v>
      </c>
      <c r="V107" s="5">
        <f>SUM(Q107-L107)</f>
        <v>0</v>
      </c>
      <c r="W107" s="52">
        <f>SUM(S107/F107)</f>
        <v>2.1504560421251154E-2</v>
      </c>
      <c r="X107" s="6">
        <f>SUM(F107*$X$1)+F107</f>
        <v>8915444.6745000016</v>
      </c>
      <c r="Y107" s="5">
        <f>MIN(L107,Q107)</f>
        <v>8673492.7554143891</v>
      </c>
      <c r="Z107" s="54">
        <f>SUM(Y107-F107)</f>
        <v>182593.06541438773</v>
      </c>
      <c r="AA107" s="5">
        <f>SUM(Y107-L107)</f>
        <v>0</v>
      </c>
      <c r="AB107" s="55">
        <f>SUM(F107*'Front page'!$H$11)+F107</f>
        <v>8745626.6807000022</v>
      </c>
      <c r="AC107" s="55">
        <f>MAX(AB107,L107)</f>
        <v>8745626.6807000022</v>
      </c>
      <c r="AD107" s="55">
        <f>MAX(Q107,AB107)</f>
        <v>8745626.6807000022</v>
      </c>
      <c r="AE107" s="55">
        <f>SUM(AC107-F107)</f>
        <v>254726.9907000009</v>
      </c>
      <c r="AF107" s="53">
        <f>SUM(AE107/F107)</f>
        <v>3.00000000000001E-2</v>
      </c>
      <c r="AG107" s="313">
        <f>SUM(AD107-F107)</f>
        <v>254726.9907000009</v>
      </c>
      <c r="AH107" s="53">
        <f>SUM(AG107/F107)</f>
        <v>3.00000000000001E-2</v>
      </c>
    </row>
    <row r="108" spans="1:34">
      <c r="A108" t="str">
        <f>RIGHT(C108,3)</f>
        <v>148</v>
      </c>
      <c r="B108">
        <f>A108*1</f>
        <v>148</v>
      </c>
      <c r="C108" s="14" t="s">
        <v>46</v>
      </c>
      <c r="D108" s="299">
        <v>3551647.9</v>
      </c>
      <c r="E108" s="299">
        <v>383152.35</v>
      </c>
      <c r="F108" s="299">
        <f>D108+E108</f>
        <v>3934800.25</v>
      </c>
      <c r="G108" s="300">
        <v>490.5</v>
      </c>
      <c r="H108" s="301">
        <f>SUM(F108/G108)</f>
        <v>8022.0188583078489</v>
      </c>
      <c r="I108" s="302">
        <f>F108/$F$177</f>
        <v>2.2514421965742753E-3</v>
      </c>
      <c r="J108" s="303">
        <f>Calculations!AS38</f>
        <v>3902693.658118343</v>
      </c>
      <c r="K108" s="5">
        <f>E108*1.091947</f>
        <v>418382.05912544997</v>
      </c>
      <c r="L108" s="5">
        <f>J108+K108</f>
        <v>4321075.7172437925</v>
      </c>
      <c r="M108" s="119">
        <v>490.5</v>
      </c>
      <c r="N108" s="55">
        <f>SUM(L108/M108)</f>
        <v>8809.5325529944803</v>
      </c>
      <c r="O108" s="33">
        <f>L108/$L$177</f>
        <v>2.2510838253901717E-3</v>
      </c>
      <c r="P108" s="180">
        <f>SUM(H108*'Front page'!$H$10)+H108</f>
        <v>8423.1198012232417</v>
      </c>
      <c r="Q108" s="180">
        <f>MIN(N108,P108)*M108</f>
        <v>4131540.2625000002</v>
      </c>
      <c r="R108" s="187"/>
      <c r="S108" s="5">
        <f>L108-F108</f>
        <v>386275.46724379249</v>
      </c>
      <c r="T108" s="5" t="str">
        <f>IF(S108&lt;0,S108,"")</f>
        <v/>
      </c>
      <c r="U108" s="5">
        <f>SUM(Q108-F108)</f>
        <v>196740.01250000019</v>
      </c>
      <c r="V108" s="5">
        <f>SUM(Q108-L108)</f>
        <v>-189535.4547437923</v>
      </c>
      <c r="W108" s="52">
        <f>SUM(S108/F108)</f>
        <v>9.8169015630156189E-2</v>
      </c>
      <c r="X108" s="6">
        <f>SUM(F108*$X$1)+F108</f>
        <v>4131540.2625000002</v>
      </c>
      <c r="Y108" s="5">
        <f>MIN(L108,Q108)</f>
        <v>4131540.2625000002</v>
      </c>
      <c r="Z108" s="54">
        <f>SUM(Y108-F108)</f>
        <v>196740.01250000019</v>
      </c>
      <c r="AA108" s="5">
        <f>SUM(Y108-L108)</f>
        <v>-189535.4547437923</v>
      </c>
      <c r="AB108" s="55">
        <f>SUM(F108*'Front page'!$H$11)+F108</f>
        <v>4052844.2574999998</v>
      </c>
      <c r="AC108" s="55">
        <f>MAX(AB108,L108)</f>
        <v>4321075.7172437925</v>
      </c>
      <c r="AD108" s="55">
        <f>MAX(Q108,AB108)</f>
        <v>4131540.2625000002</v>
      </c>
      <c r="AE108" s="55">
        <f>SUM(AC108-F108)</f>
        <v>386275.46724379249</v>
      </c>
      <c r="AF108" s="53">
        <f>SUM(AE108/F108)</f>
        <v>9.8169015630156189E-2</v>
      </c>
      <c r="AG108" s="313">
        <f>SUM(AD108-F108)</f>
        <v>196740.01250000019</v>
      </c>
      <c r="AH108" s="53">
        <f>SUM(AG108/F108)</f>
        <v>5.0000000000000044E-2</v>
      </c>
    </row>
    <row r="109" spans="1:34">
      <c r="A109" t="str">
        <f>RIGHT(C109,3)</f>
        <v>262</v>
      </c>
      <c r="B109">
        <f>A109*1</f>
        <v>262</v>
      </c>
      <c r="C109" s="14" t="s">
        <v>72</v>
      </c>
      <c r="D109" s="299">
        <v>3697344.35</v>
      </c>
      <c r="E109" s="299">
        <v>404561</v>
      </c>
      <c r="F109" s="299">
        <f>D109+E109</f>
        <v>4101905.35</v>
      </c>
      <c r="G109" s="300">
        <v>550.5</v>
      </c>
      <c r="H109" s="301">
        <f>SUM(F109/G109)</f>
        <v>7451.235876475931</v>
      </c>
      <c r="I109" s="302">
        <f>F109/$F$177</f>
        <v>2.3470575898595545E-3</v>
      </c>
      <c r="J109" s="303">
        <f>Calculations!AS64</f>
        <v>4053353.4431027072</v>
      </c>
      <c r="K109" s="5">
        <f>E109*1.091947</f>
        <v>441759.17026699998</v>
      </c>
      <c r="L109" s="5">
        <f>J109+K109</f>
        <v>4495112.613369707</v>
      </c>
      <c r="M109" s="119">
        <v>550.5</v>
      </c>
      <c r="N109" s="55">
        <f>SUM(L109/M109)</f>
        <v>8165.5088344590504</v>
      </c>
      <c r="O109" s="33">
        <f>L109/$L$177</f>
        <v>2.341749129015087E-3</v>
      </c>
      <c r="P109" s="180">
        <f>SUM(H109*'Front page'!$H$10)+H109</f>
        <v>7823.7976702997275</v>
      </c>
      <c r="Q109" s="180">
        <f>MIN(N109,P109)*M109</f>
        <v>4307000.6174999997</v>
      </c>
      <c r="R109" s="187"/>
      <c r="S109" s="5">
        <f>L109-F109</f>
        <v>393207.26336970693</v>
      </c>
      <c r="T109" s="5" t="str">
        <f>IF(S109&lt;0,S109,"")</f>
        <v/>
      </c>
      <c r="U109" s="5">
        <f>SUM(Q109-F109)</f>
        <v>205095.26749999961</v>
      </c>
      <c r="V109" s="5">
        <f>SUM(Q109-L109)</f>
        <v>-188111.99586970732</v>
      </c>
      <c r="W109" s="52">
        <f>SUM(S109/F109)</f>
        <v>9.5859662722277805E-2</v>
      </c>
      <c r="X109" s="6">
        <f>SUM(F109*$X$1)+F109</f>
        <v>4307000.6174999997</v>
      </c>
      <c r="Y109" s="5">
        <f>MIN(L109,Q109)</f>
        <v>4307000.6174999997</v>
      </c>
      <c r="Z109" s="54">
        <f>SUM(Y109-F109)</f>
        <v>205095.26749999961</v>
      </c>
      <c r="AA109" s="5">
        <f>SUM(Y109-L109)</f>
        <v>-188111.99586970732</v>
      </c>
      <c r="AB109" s="55">
        <f>SUM(F109*'Front page'!$H$11)+F109</f>
        <v>4224962.5104999999</v>
      </c>
      <c r="AC109" s="55">
        <f>MAX(AB109,L109)</f>
        <v>4495112.613369707</v>
      </c>
      <c r="AD109" s="55">
        <f>MAX(Q109,AB109)</f>
        <v>4307000.6174999997</v>
      </c>
      <c r="AE109" s="55">
        <f>SUM(AC109-F109)</f>
        <v>393207.26336970693</v>
      </c>
      <c r="AF109" s="53">
        <f>SUM(AE109/F109)</f>
        <v>9.5859662722277805E-2</v>
      </c>
      <c r="AG109" s="313">
        <f>SUM(AD109-F109)</f>
        <v>205095.26749999961</v>
      </c>
      <c r="AH109" s="53">
        <f>SUM(AG109/F109)</f>
        <v>4.9999999999999906E-2</v>
      </c>
    </row>
    <row r="110" spans="1:34">
      <c r="A110" t="str">
        <f>RIGHT(C110,3)</f>
        <v>253</v>
      </c>
      <c r="B110">
        <f>A110*1</f>
        <v>253</v>
      </c>
      <c r="C110" s="14" t="s">
        <v>70</v>
      </c>
      <c r="D110" s="299">
        <v>3753324.9099999997</v>
      </c>
      <c r="E110" s="299">
        <v>522842.86000000004</v>
      </c>
      <c r="F110" s="299">
        <f>D110+E110</f>
        <v>4276167.7699999996</v>
      </c>
      <c r="G110" s="300">
        <v>568</v>
      </c>
      <c r="H110" s="301">
        <f>SUM(F110/G110)</f>
        <v>7528.464383802816</v>
      </c>
      <c r="I110" s="302">
        <f>F110/$F$177</f>
        <v>2.4467683097786018E-3</v>
      </c>
      <c r="J110" s="303">
        <f>Calculations!AS62</f>
        <v>4217904.6293902537</v>
      </c>
      <c r="K110" s="5">
        <f>E110*1.091947</f>
        <v>570916.6924484201</v>
      </c>
      <c r="L110" s="5">
        <f>J110+K110</f>
        <v>4788821.3218386741</v>
      </c>
      <c r="M110" s="119">
        <v>568</v>
      </c>
      <c r="N110" s="55">
        <f>SUM(L110/M110)</f>
        <v>8431.0234539413268</v>
      </c>
      <c r="O110" s="33">
        <f>L110/$L$177</f>
        <v>2.4947580014058842E-3</v>
      </c>
      <c r="P110" s="180">
        <f>SUM(H110*'Front page'!$H$10)+H110</f>
        <v>7904.887602992957</v>
      </c>
      <c r="Q110" s="180">
        <f>MIN(N110,P110)*M110</f>
        <v>4489976.1584999999</v>
      </c>
      <c r="R110" s="187"/>
      <c r="S110" s="5">
        <f>L110-F110</f>
        <v>512653.55183867458</v>
      </c>
      <c r="T110" s="5" t="str">
        <f>IF(S110&lt;0,S110,"")</f>
        <v/>
      </c>
      <c r="U110" s="5">
        <f>SUM(Q110-F110)</f>
        <v>213808.38850000035</v>
      </c>
      <c r="V110" s="5">
        <f>SUM(Q110-L110)</f>
        <v>-298845.16333867423</v>
      </c>
      <c r="W110" s="52">
        <f>SUM(S110/F110)</f>
        <v>0.1198862110685322</v>
      </c>
      <c r="X110" s="6">
        <f>SUM(F110*$X$1)+F110</f>
        <v>4489976.1584999999</v>
      </c>
      <c r="Y110" s="5">
        <f>MIN(L110,Q110)</f>
        <v>4489976.1584999999</v>
      </c>
      <c r="Z110" s="54">
        <f>SUM(Y110-F110)</f>
        <v>213808.38850000035</v>
      </c>
      <c r="AA110" s="5">
        <f>SUM(Y110-L110)</f>
        <v>-298845.16333867423</v>
      </c>
      <c r="AB110" s="55">
        <f>SUM(F110*'Front page'!$H$11)+F110</f>
        <v>4404452.8030999992</v>
      </c>
      <c r="AC110" s="55">
        <f>MAX(AB110,L110)</f>
        <v>4788821.3218386741</v>
      </c>
      <c r="AD110" s="55">
        <f>MAX(Q110,AB110)</f>
        <v>4489976.1584999999</v>
      </c>
      <c r="AE110" s="55">
        <f>SUM(AC110-F110)</f>
        <v>512653.55183867458</v>
      </c>
      <c r="AF110" s="53">
        <f>SUM(AE110/F110)</f>
        <v>0.1198862110685322</v>
      </c>
      <c r="AG110" s="313">
        <f>SUM(AD110-F110)</f>
        <v>213808.38850000035</v>
      </c>
      <c r="AH110" s="53">
        <f>SUM(AG110/F110)</f>
        <v>5.0000000000000086E-2</v>
      </c>
    </row>
    <row r="111" spans="1:34">
      <c r="A111" t="str">
        <f>RIGHT(C111,3)</f>
        <v>202</v>
      </c>
      <c r="B111">
        <f>A111*1</f>
        <v>202</v>
      </c>
      <c r="C111" s="14" t="s">
        <v>58</v>
      </c>
      <c r="D111" s="299">
        <v>3913694.93</v>
      </c>
      <c r="E111" s="299">
        <v>481848.97</v>
      </c>
      <c r="F111" s="299">
        <f>D111+E111</f>
        <v>4395543.9000000004</v>
      </c>
      <c r="G111" s="300">
        <v>663.5</v>
      </c>
      <c r="H111" s="301">
        <f>SUM(F111/G111)</f>
        <v>6624.7835719668428</v>
      </c>
      <c r="I111" s="302">
        <f>F111/$F$177</f>
        <v>2.5150737990714163E-3</v>
      </c>
      <c r="J111" s="303">
        <f>Calculations!AS50</f>
        <v>4701260.3876780635</v>
      </c>
      <c r="K111" s="5">
        <f>E111*1.091947</f>
        <v>526153.53724459</v>
      </c>
      <c r="L111" s="5">
        <f>J111+K111</f>
        <v>5227413.9249226535</v>
      </c>
      <c r="M111" s="119">
        <v>663.5</v>
      </c>
      <c r="N111" s="55">
        <f>SUM(L111/M111)</f>
        <v>7878.5439712474054</v>
      </c>
      <c r="O111" s="33">
        <f>L111/$L$177</f>
        <v>2.7232447901927919E-3</v>
      </c>
      <c r="P111" s="180">
        <f>SUM(H111*'Front page'!$H$10)+H111</f>
        <v>6956.0227505651847</v>
      </c>
      <c r="Q111" s="180">
        <f>MIN(N111,P111)*M111</f>
        <v>4615321.0949999997</v>
      </c>
      <c r="R111" s="187"/>
      <c r="S111" s="5">
        <f>L111-F111</f>
        <v>831870.0249226531</v>
      </c>
      <c r="T111" s="5" t="str">
        <f>IF(S111&lt;0,S111,"")</f>
        <v/>
      </c>
      <c r="U111" s="5">
        <f>SUM(Q111-F111)</f>
        <v>219777.19499999937</v>
      </c>
      <c r="V111" s="5">
        <f>SUM(Q111-L111)</f>
        <v>-612092.82992265373</v>
      </c>
      <c r="W111" s="52">
        <f>SUM(S111/F111)</f>
        <v>0.18925303531211532</v>
      </c>
      <c r="X111" s="6">
        <f>SUM(F111*$X$1)+F111</f>
        <v>4615321.0950000007</v>
      </c>
      <c r="Y111" s="5">
        <f>MIN(L111,Q111)</f>
        <v>4615321.0949999997</v>
      </c>
      <c r="Z111" s="54">
        <f>SUM(Y111-F111)</f>
        <v>219777.19499999937</v>
      </c>
      <c r="AA111" s="5">
        <f>SUM(Y111-L111)</f>
        <v>-612092.82992265373</v>
      </c>
      <c r="AB111" s="55">
        <f>SUM(F111*'Front page'!$H$11)+F111</f>
        <v>4527410.2170000002</v>
      </c>
      <c r="AC111" s="55">
        <f>MAX(AB111,L111)</f>
        <v>5227413.9249226535</v>
      </c>
      <c r="AD111" s="55">
        <f>MAX(Q111,AB111)</f>
        <v>4615321.0949999997</v>
      </c>
      <c r="AE111" s="55">
        <f>SUM(AC111-F111)</f>
        <v>831870.0249226531</v>
      </c>
      <c r="AF111" s="53">
        <f>SUM(AE111/F111)</f>
        <v>0.18925303531211532</v>
      </c>
      <c r="AG111" s="313">
        <f>SUM(AD111-F111)</f>
        <v>219777.19499999937</v>
      </c>
      <c r="AH111" s="53">
        <f>SUM(AG111/F111)</f>
        <v>4.999999999999985E-2</v>
      </c>
    </row>
    <row r="112" spans="1:34">
      <c r="A112" s="27" t="str">
        <f>RIGHT(C112,3)</f>
        <v>462</v>
      </c>
      <c r="B112" s="27">
        <f>A112*1</f>
        <v>462</v>
      </c>
      <c r="C112" s="15" t="s">
        <v>136</v>
      </c>
      <c r="D112" s="299">
        <v>3860287.49</v>
      </c>
      <c r="E112" s="299">
        <v>646884.87</v>
      </c>
      <c r="F112" s="299">
        <f>D112+E112</f>
        <v>4507172.3600000003</v>
      </c>
      <c r="G112" s="300">
        <v>682.5</v>
      </c>
      <c r="H112" s="301">
        <f>SUM(F112/G112)</f>
        <v>6603.9155457875459</v>
      </c>
      <c r="I112" s="302">
        <f>F112/$F$177</f>
        <v>2.5789461710381007E-3</v>
      </c>
      <c r="J112" s="303">
        <f>Calculations!AS128</f>
        <v>4403376.3522617882</v>
      </c>
      <c r="K112" s="5">
        <f>E112*1.091947</f>
        <v>706363.99314189004</v>
      </c>
      <c r="L112" s="5">
        <f>J112+K112</f>
        <v>5109740.3454036787</v>
      </c>
      <c r="M112" s="119">
        <v>682.5</v>
      </c>
      <c r="N112" s="55">
        <f>SUM(L112/M112)</f>
        <v>7486.7990408845108</v>
      </c>
      <c r="O112" s="33">
        <f>L112/$L$177</f>
        <v>2.6619422098020252E-3</v>
      </c>
      <c r="P112" s="180">
        <f>SUM(H112*'Front page'!$H$10)+H112</f>
        <v>6934.1113230769233</v>
      </c>
      <c r="Q112" s="180">
        <f>MIN(N112,P112)*M112</f>
        <v>4732530.9780000001</v>
      </c>
      <c r="R112" s="187"/>
      <c r="S112" s="5">
        <f>L112-F112</f>
        <v>602567.98540367838</v>
      </c>
      <c r="T112" s="5" t="str">
        <f>IF(S112&lt;0,S112,"")</f>
        <v/>
      </c>
      <c r="U112" s="5">
        <f>SUM(Q112-F112)</f>
        <v>225358.61799999978</v>
      </c>
      <c r="V112" s="5">
        <f>SUM(Q112-L112)</f>
        <v>-377209.3674036786</v>
      </c>
      <c r="W112" s="52">
        <f>SUM(S112/F112)</f>
        <v>0.13369091245573717</v>
      </c>
      <c r="X112" s="6">
        <f>SUM(F112*$X$1)+F112</f>
        <v>4732530.9780000001</v>
      </c>
      <c r="Y112" s="5">
        <f>MIN(L112,Q112)</f>
        <v>4732530.9780000001</v>
      </c>
      <c r="Z112" s="54">
        <f>SUM(Y112-F112)</f>
        <v>225358.61799999978</v>
      </c>
      <c r="AA112" s="5">
        <f>SUM(Y112-L112)</f>
        <v>-377209.3674036786</v>
      </c>
      <c r="AB112" s="55">
        <f>SUM(F112*'Front page'!$H$11)+F112</f>
        <v>4642387.5308000008</v>
      </c>
      <c r="AC112" s="55">
        <f>MAX(AB112,L112)</f>
        <v>5109740.3454036787</v>
      </c>
      <c r="AD112" s="55">
        <f>MAX(Q112,AB112)</f>
        <v>4732530.9780000001</v>
      </c>
      <c r="AE112" s="55">
        <f>SUM(AC112-F112)</f>
        <v>602567.98540367838</v>
      </c>
      <c r="AF112" s="53">
        <f>SUM(AE112/F112)</f>
        <v>0.13369091245573717</v>
      </c>
      <c r="AG112" s="313">
        <f>SUM(AD112-F112)</f>
        <v>225358.61799999978</v>
      </c>
      <c r="AH112" s="53">
        <f>SUM(AG112/F112)</f>
        <v>4.9999999999999947E-2</v>
      </c>
    </row>
    <row r="113" spans="1:34">
      <c r="A113" s="27" t="str">
        <f>RIGHT(C113,3)</f>
        <v>463</v>
      </c>
      <c r="B113" s="27">
        <f>A113*1</f>
        <v>463</v>
      </c>
      <c r="C113" s="15" t="s">
        <v>137</v>
      </c>
      <c r="D113" s="299">
        <v>4017273.55</v>
      </c>
      <c r="E113" s="299">
        <v>678206.81</v>
      </c>
      <c r="F113" s="299">
        <f>D113+E113</f>
        <v>4695480.3599999994</v>
      </c>
      <c r="G113" s="300">
        <v>672.5</v>
      </c>
      <c r="H113" s="301">
        <f>SUM(F113/G113)</f>
        <v>6982.1269293680289</v>
      </c>
      <c r="I113" s="302">
        <f>F113/$F$177</f>
        <v>2.6866935915462972E-3</v>
      </c>
      <c r="J113" s="303">
        <f>Calculations!AS129</f>
        <v>4504082.3071766188</v>
      </c>
      <c r="K113" s="5">
        <f>E113*1.091947</f>
        <v>740565.89155907009</v>
      </c>
      <c r="L113" s="5">
        <f>J113+K113</f>
        <v>5244648.1987356888</v>
      </c>
      <c r="M113" s="119">
        <v>672.5</v>
      </c>
      <c r="N113" s="55">
        <f>SUM(L113/M113)</f>
        <v>7798.7333810196114</v>
      </c>
      <c r="O113" s="33">
        <f>L113/$L$177</f>
        <v>2.7322230626326961E-3</v>
      </c>
      <c r="P113" s="180">
        <f>SUM(H113*'Front page'!$H$10)+H113</f>
        <v>7331.23327583643</v>
      </c>
      <c r="Q113" s="180">
        <f>MIN(N113,P113)*M113</f>
        <v>4930254.3779999996</v>
      </c>
      <c r="R113" s="187"/>
      <c r="S113" s="5">
        <f>L113-F113</f>
        <v>549167.83873568941</v>
      </c>
      <c r="T113" s="5" t="str">
        <f>IF(S113&lt;0,S113,"")</f>
        <v/>
      </c>
      <c r="U113" s="5">
        <f>SUM(Q113-F113)</f>
        <v>234774.01800000016</v>
      </c>
      <c r="V113" s="5">
        <f>SUM(Q113-L113)</f>
        <v>-314393.82073568925</v>
      </c>
      <c r="W113" s="52">
        <f>SUM(S113/F113)</f>
        <v>0.11695668954638956</v>
      </c>
      <c r="X113" s="6">
        <f>SUM(F113*$X$1)+F113</f>
        <v>4930254.3779999996</v>
      </c>
      <c r="Y113" s="5">
        <f>MIN(L113,Q113)</f>
        <v>4930254.3779999996</v>
      </c>
      <c r="Z113" s="54">
        <f>SUM(Y113-F113)</f>
        <v>234774.01800000016</v>
      </c>
      <c r="AA113" s="5">
        <f>SUM(Y113-L113)</f>
        <v>-314393.82073568925</v>
      </c>
      <c r="AB113" s="55">
        <f>SUM(F113*'Front page'!$H$11)+F113</f>
        <v>4836344.7707999991</v>
      </c>
      <c r="AC113" s="55">
        <f>MAX(AB113,L113)</f>
        <v>5244648.1987356888</v>
      </c>
      <c r="AD113" s="55">
        <f>MAX(Q113,AB113)</f>
        <v>4930254.3779999996</v>
      </c>
      <c r="AE113" s="55">
        <f>SUM(AC113-F113)</f>
        <v>549167.83873568941</v>
      </c>
      <c r="AF113" s="53">
        <f>SUM(AE113/F113)</f>
        <v>0.11695668954638956</v>
      </c>
      <c r="AG113" s="313">
        <f>SUM(AD113-F113)</f>
        <v>234774.01800000016</v>
      </c>
      <c r="AH113" s="53">
        <f>SUM(AG113/F113)</f>
        <v>5.0000000000000037E-2</v>
      </c>
    </row>
    <row r="114" spans="1:34">
      <c r="A114" t="str">
        <f>RIGHT(C114,3)</f>
        <v>252</v>
      </c>
      <c r="B114">
        <f>A114*1</f>
        <v>252</v>
      </c>
      <c r="C114" s="14" t="s">
        <v>69</v>
      </c>
      <c r="D114" s="299">
        <v>4083934.46</v>
      </c>
      <c r="E114" s="299">
        <v>616830.85</v>
      </c>
      <c r="F114" s="299">
        <f>D114+E114</f>
        <v>4700765.3099999996</v>
      </c>
      <c r="G114" s="300">
        <v>688.5</v>
      </c>
      <c r="H114" s="301">
        <f>SUM(F114/G114)</f>
        <v>6827.5458387799563</v>
      </c>
      <c r="I114" s="302">
        <f>F114/$F$177</f>
        <v>2.6897175720995122E-3</v>
      </c>
      <c r="J114" s="303">
        <f>Calculations!AS61</f>
        <v>4451052.5825340236</v>
      </c>
      <c r="K114" s="5">
        <f>E114*1.091947</f>
        <v>673546.59616494994</v>
      </c>
      <c r="L114" s="5">
        <f>J114+K114</f>
        <v>5124599.1786989737</v>
      </c>
      <c r="M114" s="119">
        <v>688.5</v>
      </c>
      <c r="N114" s="55">
        <f>SUM(L114/M114)</f>
        <v>7443.1360620173909</v>
      </c>
      <c r="O114" s="33">
        <f>L114/$L$177</f>
        <v>2.669682985822618E-3</v>
      </c>
      <c r="P114" s="180">
        <f>SUM(H114*'Front page'!$H$10)+H114</f>
        <v>7168.9231307189539</v>
      </c>
      <c r="Q114" s="180">
        <f>MIN(N114,P114)*M114</f>
        <v>4935803.5754999993</v>
      </c>
      <c r="R114" s="187"/>
      <c r="S114" s="5">
        <f>L114-F114</f>
        <v>423833.86869897414</v>
      </c>
      <c r="T114" s="5" t="str">
        <f>IF(S114&lt;0,S114,"")</f>
        <v/>
      </c>
      <c r="U114" s="5">
        <f>SUM(Q114-F114)</f>
        <v>235038.26549999975</v>
      </c>
      <c r="V114" s="5">
        <f>SUM(Q114-L114)</f>
        <v>-188795.60319897439</v>
      </c>
      <c r="W114" s="52">
        <f>SUM(S114/F114)</f>
        <v>9.0162737500922838E-2</v>
      </c>
      <c r="X114" s="6">
        <f>SUM(F114*$X$1)+F114</f>
        <v>4935803.5754999993</v>
      </c>
      <c r="Y114" s="5">
        <f>MIN(L114,Q114)</f>
        <v>4935803.5754999993</v>
      </c>
      <c r="Z114" s="54">
        <f>SUM(Y114-F114)</f>
        <v>235038.26549999975</v>
      </c>
      <c r="AA114" s="5">
        <f>SUM(Y114-L114)</f>
        <v>-188795.60319897439</v>
      </c>
      <c r="AB114" s="55">
        <f>SUM(F114*'Front page'!$H$11)+F114</f>
        <v>4841788.2692999998</v>
      </c>
      <c r="AC114" s="55">
        <f>MAX(AB114,L114)</f>
        <v>5124599.1786989737</v>
      </c>
      <c r="AD114" s="55">
        <f>MAX(Q114,AB114)</f>
        <v>4935803.5754999993</v>
      </c>
      <c r="AE114" s="55">
        <f>SUM(AC114-F114)</f>
        <v>423833.86869897414</v>
      </c>
      <c r="AF114" s="53">
        <f>SUM(AE114/F114)</f>
        <v>9.0162737500922838E-2</v>
      </c>
      <c r="AG114" s="313">
        <f>SUM(AD114-F114)</f>
        <v>235038.26549999975</v>
      </c>
      <c r="AH114" s="53">
        <f>SUM(AG114/F114)</f>
        <v>4.9999999999999947E-2</v>
      </c>
    </row>
    <row r="115" spans="1:34">
      <c r="A115" s="27" t="str">
        <f>RIGHT(C115,3)</f>
        <v>491</v>
      </c>
      <c r="B115" s="27">
        <f>A115*1</f>
        <v>491</v>
      </c>
      <c r="C115" s="15" t="s">
        <v>162</v>
      </c>
      <c r="D115" s="299">
        <v>4263737.83</v>
      </c>
      <c r="E115" s="299">
        <v>472118.62</v>
      </c>
      <c r="F115" s="299">
        <f>D115+E115</f>
        <v>4735856.45</v>
      </c>
      <c r="G115" s="300">
        <v>706</v>
      </c>
      <c r="H115" s="301">
        <f>SUM(F115/G115)</f>
        <v>6708.0119688385275</v>
      </c>
      <c r="I115" s="302">
        <f>F115/$F$177</f>
        <v>2.7097962719831712E-3</v>
      </c>
      <c r="J115" s="303">
        <f>Calculations!AS154</f>
        <v>4464546.8752989136</v>
      </c>
      <c r="K115" s="5">
        <f>E115*1.091947</f>
        <v>515528.51075313997</v>
      </c>
      <c r="L115" s="5">
        <f>J115+K115</f>
        <v>4980075.3860520534</v>
      </c>
      <c r="M115" s="119">
        <v>706</v>
      </c>
      <c r="N115" s="55">
        <f>SUM(L115/M115)</f>
        <v>7053.9311417167892</v>
      </c>
      <c r="O115" s="33">
        <f>L115/$L$177</f>
        <v>2.5943926661660486E-3</v>
      </c>
      <c r="P115" s="180">
        <f>SUM(H115*'Front page'!$H$10)+H115</f>
        <v>7043.4125672804539</v>
      </c>
      <c r="Q115" s="180">
        <f>MIN(N115,P115)*M115</f>
        <v>4972649.2725000009</v>
      </c>
      <c r="R115" s="187"/>
      <c r="S115" s="5">
        <f>L115-F115</f>
        <v>244218.93605205324</v>
      </c>
      <c r="T115" s="5" t="str">
        <f>IF(S115&lt;0,S115,"")</f>
        <v/>
      </c>
      <c r="U115" s="5">
        <f>SUM(Q115-F115)</f>
        <v>236792.82250000071</v>
      </c>
      <c r="V115" s="5">
        <f>SUM(Q115-L115)</f>
        <v>-7426.1135520525277</v>
      </c>
      <c r="W115" s="52">
        <f>SUM(S115/F115)</f>
        <v>5.1568061369776784E-2</v>
      </c>
      <c r="X115" s="6">
        <f>SUM(F115*$X$1)+F115</f>
        <v>4972649.2725</v>
      </c>
      <c r="Y115" s="5">
        <f>MIN(L115,Q115)</f>
        <v>4972649.2725000009</v>
      </c>
      <c r="Z115" s="54">
        <f>SUM(Y115-F115)</f>
        <v>236792.82250000071</v>
      </c>
      <c r="AA115" s="5">
        <f>SUM(Y115-L115)</f>
        <v>-7426.1135520525277</v>
      </c>
      <c r="AB115" s="55">
        <f>SUM(F115*'Front page'!$H$11)+F115</f>
        <v>4877932.1435000002</v>
      </c>
      <c r="AC115" s="55">
        <f>MAX(AB115,L115)</f>
        <v>4980075.3860520534</v>
      </c>
      <c r="AD115" s="55">
        <f>MAX(Q115,AB115)</f>
        <v>4972649.2725000009</v>
      </c>
      <c r="AE115" s="55">
        <f>SUM(AC115-F115)</f>
        <v>244218.93605205324</v>
      </c>
      <c r="AF115" s="53">
        <f>SUM(AE115/F115)</f>
        <v>5.1568061369776784E-2</v>
      </c>
      <c r="AG115" s="313">
        <f>SUM(AD115-F115)</f>
        <v>236792.82250000071</v>
      </c>
      <c r="AH115" s="53">
        <f>SUM(AG115/F115)</f>
        <v>5.0000000000000148E-2</v>
      </c>
    </row>
    <row r="116" spans="1:34">
      <c r="A116" t="str">
        <f>RIGHT(C116,3)</f>
        <v>059</v>
      </c>
      <c r="B116">
        <f>A116*1</f>
        <v>59</v>
      </c>
      <c r="C116" s="14" t="s">
        <v>24</v>
      </c>
      <c r="D116" s="299">
        <v>4524876.33</v>
      </c>
      <c r="E116" s="299">
        <v>401007.35000000003</v>
      </c>
      <c r="F116" s="299">
        <f>D116+E116</f>
        <v>4925883.68</v>
      </c>
      <c r="G116" s="300">
        <v>773.5</v>
      </c>
      <c r="H116" s="301">
        <f>SUM(F116/G116)</f>
        <v>6368.3046929541042</v>
      </c>
      <c r="I116" s="302">
        <f>F116/$F$177</f>
        <v>2.8185274138296029E-3</v>
      </c>
      <c r="J116" s="303">
        <f>Calculations!AS16</f>
        <v>5104968.985708911</v>
      </c>
      <c r="K116" s="5">
        <f>E116*1.091947</f>
        <v>437878.77281045006</v>
      </c>
      <c r="L116" s="5">
        <f>J116+K116</f>
        <v>5542847.7585193608</v>
      </c>
      <c r="M116" s="119">
        <v>773.5</v>
      </c>
      <c r="N116" s="55">
        <f>SUM(L116/M116)</f>
        <v>7165.9311680922574</v>
      </c>
      <c r="O116" s="33">
        <f>L116/$L$177</f>
        <v>2.8875714642098075E-3</v>
      </c>
      <c r="P116" s="180">
        <f>SUM(H116*'Front page'!$H$10)+H116</f>
        <v>6686.7199276018091</v>
      </c>
      <c r="Q116" s="180">
        <f>MIN(N116,P116)*M116</f>
        <v>5172177.8639999991</v>
      </c>
      <c r="R116" s="187"/>
      <c r="S116" s="5">
        <f>L116-F116</f>
        <v>616964.07851936109</v>
      </c>
      <c r="T116" s="5" t="str">
        <f>IF(S116&lt;0,S116,"")</f>
        <v/>
      </c>
      <c r="U116" s="5">
        <f>SUM(Q116-F116)</f>
        <v>246294.18399999943</v>
      </c>
      <c r="V116" s="5">
        <f>SUM(Q116-L116)</f>
        <v>-370669.89451936167</v>
      </c>
      <c r="W116" s="52">
        <f>SUM(S116/F116)</f>
        <v>0.12524942093625749</v>
      </c>
      <c r="X116" s="6">
        <f>SUM(F116*$X$1)+F116</f>
        <v>5172177.8640000001</v>
      </c>
      <c r="Y116" s="5">
        <f>MIN(L116,Q116)</f>
        <v>5172177.8639999991</v>
      </c>
      <c r="Z116" s="54">
        <f>SUM(Y116-F116)</f>
        <v>246294.18399999943</v>
      </c>
      <c r="AA116" s="5">
        <f>SUM(Y116-L116)</f>
        <v>-370669.89451936167</v>
      </c>
      <c r="AB116" s="55">
        <f>SUM(F116*'Front page'!$H$11)+F116</f>
        <v>5073660.1903999997</v>
      </c>
      <c r="AC116" s="55">
        <f>MAX(AB116,L116)</f>
        <v>5542847.7585193608</v>
      </c>
      <c r="AD116" s="55">
        <f>MAX(Q116,AB116)</f>
        <v>5172177.8639999991</v>
      </c>
      <c r="AE116" s="55">
        <f>SUM(AC116-F116)</f>
        <v>616964.07851936109</v>
      </c>
      <c r="AF116" s="53">
        <f>SUM(AE116/F116)</f>
        <v>0.12524942093625749</v>
      </c>
      <c r="AG116" s="313">
        <f>SUM(AD116-F116)</f>
        <v>246294.18399999943</v>
      </c>
      <c r="AH116" s="53">
        <f>SUM(AG116/F116)</f>
        <v>4.9999999999999885E-2</v>
      </c>
    </row>
    <row r="117" spans="1:34">
      <c r="A117" t="str">
        <f>RIGHT(C117,3)</f>
        <v>291</v>
      </c>
      <c r="B117">
        <f>A117*1</f>
        <v>291</v>
      </c>
      <c r="C117" s="14" t="s">
        <v>83</v>
      </c>
      <c r="D117" s="299">
        <v>4540409</v>
      </c>
      <c r="E117" s="299">
        <v>461584</v>
      </c>
      <c r="F117" s="299">
        <f>D117+E117</f>
        <v>5001993</v>
      </c>
      <c r="G117" s="300">
        <v>765.5</v>
      </c>
      <c r="H117" s="301">
        <f>SUM(F117/G117)</f>
        <v>6534.2821685173094</v>
      </c>
      <c r="I117" s="302">
        <f>F117/$F$177</f>
        <v>2.8620761898063693E-3</v>
      </c>
      <c r="J117" s="303">
        <f>Calculations!AS75</f>
        <v>4867377.257187495</v>
      </c>
      <c r="K117" s="5">
        <f>E117*1.091947</f>
        <v>504025.26404799998</v>
      </c>
      <c r="L117" s="5">
        <f>J117+K117</f>
        <v>5371402.5212354949</v>
      </c>
      <c r="M117" s="119">
        <v>765.5</v>
      </c>
      <c r="N117" s="55">
        <f>SUM(L117/M117)</f>
        <v>7016.8550244748467</v>
      </c>
      <c r="O117" s="33">
        <f>L117/$L$177</f>
        <v>2.7982562969125165E-3</v>
      </c>
      <c r="P117" s="180">
        <f>SUM(H117*'Front page'!$H$10)+H117</f>
        <v>6860.996276943175</v>
      </c>
      <c r="Q117" s="180">
        <f>MIN(N117,P117)*M117</f>
        <v>5252092.6500000004</v>
      </c>
      <c r="R117" s="187"/>
      <c r="S117" s="5">
        <f>L117-F117</f>
        <v>369409.52123549487</v>
      </c>
      <c r="T117" s="5" t="str">
        <f>IF(S117&lt;0,S117,"")</f>
        <v/>
      </c>
      <c r="U117" s="5">
        <f>SUM(Q117-F117)</f>
        <v>250099.65000000037</v>
      </c>
      <c r="V117" s="5">
        <f>SUM(Q117-L117)</f>
        <v>-119309.8712354945</v>
      </c>
      <c r="W117" s="52">
        <f>SUM(S117/F117)</f>
        <v>7.3852466653890739E-2</v>
      </c>
      <c r="X117" s="6">
        <f>SUM(F117*$X$1)+F117</f>
        <v>5252092.6500000004</v>
      </c>
      <c r="Y117" s="5">
        <f>MIN(L117,Q117)</f>
        <v>5252092.6500000004</v>
      </c>
      <c r="Z117" s="54">
        <f>SUM(Y117-F117)</f>
        <v>250099.65000000037</v>
      </c>
      <c r="AA117" s="5">
        <f>SUM(Y117-L117)</f>
        <v>-119309.8712354945</v>
      </c>
      <c r="AB117" s="55">
        <f>SUM(F117*'Front page'!$H$11)+F117</f>
        <v>5152052.79</v>
      </c>
      <c r="AC117" s="55">
        <f>MAX(AB117,L117)</f>
        <v>5371402.5212354949</v>
      </c>
      <c r="AD117" s="55">
        <f>MAX(Q117,AB117)</f>
        <v>5252092.6500000004</v>
      </c>
      <c r="AE117" s="55">
        <f>SUM(AC117-F117)</f>
        <v>369409.52123549487</v>
      </c>
      <c r="AF117" s="53">
        <f>SUM(AE117/F117)</f>
        <v>7.3852466653890739E-2</v>
      </c>
      <c r="AG117" s="313">
        <f>SUM(AD117-F117)</f>
        <v>250099.65000000037</v>
      </c>
      <c r="AH117" s="53">
        <f>SUM(AG117/F117)</f>
        <v>5.0000000000000072E-2</v>
      </c>
    </row>
    <row r="118" spans="1:34">
      <c r="A118" t="str">
        <f>RIGHT(C118,3)</f>
        <v>363</v>
      </c>
      <c r="B118">
        <f>A118*1</f>
        <v>363</v>
      </c>
      <c r="C118" s="14" t="s">
        <v>98</v>
      </c>
      <c r="D118" s="299">
        <v>4475216.5999999996</v>
      </c>
      <c r="E118" s="299">
        <v>560094.87999999989</v>
      </c>
      <c r="F118" s="299">
        <f>D118+E118</f>
        <v>5035311.4799999995</v>
      </c>
      <c r="G118" s="300">
        <v>794.5</v>
      </c>
      <c r="H118" s="301">
        <f>SUM(F118/G118)</f>
        <v>6337.711113908118</v>
      </c>
      <c r="I118" s="302">
        <f>F118/$F$177</f>
        <v>2.8811405963916122E-3</v>
      </c>
      <c r="J118" s="303">
        <f>Calculations!AS90</f>
        <v>5316367.671939292</v>
      </c>
      <c r="K118" s="5">
        <f>E118*1.091947</f>
        <v>611593.9239313599</v>
      </c>
      <c r="L118" s="5">
        <f>J118+K118</f>
        <v>5927961.5958706522</v>
      </c>
      <c r="M118" s="119">
        <v>794.5</v>
      </c>
      <c r="N118" s="55">
        <f>SUM(L118/M118)</f>
        <v>7461.2480753563905</v>
      </c>
      <c r="O118" s="33">
        <f>L118/$L$177</f>
        <v>3.0881982495114088E-3</v>
      </c>
      <c r="P118" s="180">
        <f>SUM(H118*'Front page'!$H$10)+H118</f>
        <v>6654.5966696035239</v>
      </c>
      <c r="Q118" s="180">
        <f>MIN(N118,P118)*M118</f>
        <v>5287077.0539999995</v>
      </c>
      <c r="R118" s="187"/>
      <c r="S118" s="5">
        <f>L118-F118</f>
        <v>892650.11587065272</v>
      </c>
      <c r="T118" s="5" t="str">
        <f>IF(S118&lt;0,S118,"")</f>
        <v/>
      </c>
      <c r="U118" s="5">
        <f>SUM(Q118-F118)</f>
        <v>251765.57400000002</v>
      </c>
      <c r="V118" s="5">
        <f>SUM(Q118-L118)</f>
        <v>-640884.5418706527</v>
      </c>
      <c r="W118" s="52">
        <f>SUM(S118/F118)</f>
        <v>0.17727803322916832</v>
      </c>
      <c r="X118" s="6">
        <f>SUM(F118*$X$1)+F118</f>
        <v>5287077.0539999995</v>
      </c>
      <c r="Y118" s="5">
        <f>MIN(L118,Q118)</f>
        <v>5287077.0539999995</v>
      </c>
      <c r="Z118" s="54">
        <f>SUM(Y118-F118)</f>
        <v>251765.57400000002</v>
      </c>
      <c r="AA118" s="5">
        <f>SUM(Y118-L118)</f>
        <v>-640884.5418706527</v>
      </c>
      <c r="AB118" s="55">
        <f>SUM(F118*'Front page'!$H$11)+F118</f>
        <v>5186370.8243999993</v>
      </c>
      <c r="AC118" s="55">
        <f>MAX(AB118,L118)</f>
        <v>5927961.5958706522</v>
      </c>
      <c r="AD118" s="55">
        <f>MAX(Q118,AB118)</f>
        <v>5287077.0539999995</v>
      </c>
      <c r="AE118" s="55">
        <f>SUM(AC118-F118)</f>
        <v>892650.11587065272</v>
      </c>
      <c r="AF118" s="53">
        <f>SUM(AE118/F118)</f>
        <v>0.17727803322916832</v>
      </c>
      <c r="AG118" s="313">
        <f>SUM(AD118-F118)</f>
        <v>251765.57400000002</v>
      </c>
      <c r="AH118" s="53">
        <f>SUM(AG118/F118)</f>
        <v>5.000000000000001E-2</v>
      </c>
    </row>
    <row r="119" spans="1:34">
      <c r="A119" t="str">
        <f>RIGHT(C119,3)</f>
        <v>171</v>
      </c>
      <c r="B119">
        <f>A119*1</f>
        <v>171</v>
      </c>
      <c r="C119" s="14" t="s">
        <v>51</v>
      </c>
      <c r="D119" s="299">
        <v>8279893.040000001</v>
      </c>
      <c r="E119" s="299">
        <v>867421.18</v>
      </c>
      <c r="F119" s="299">
        <f>D119+E119</f>
        <v>9147314.2200000007</v>
      </c>
      <c r="G119" s="300">
        <v>1086.5</v>
      </c>
      <c r="H119" s="301">
        <f>SUM(F119/G119)</f>
        <v>8419.0650897376909</v>
      </c>
      <c r="I119" s="302">
        <f>F119/$F$177</f>
        <v>5.2339757832006607E-3</v>
      </c>
      <c r="J119" s="303">
        <f>Calculations!AS43</f>
        <v>6852266.3314354122</v>
      </c>
      <c r="K119" s="5">
        <f>(E119*1.091947)+1600000</f>
        <v>2547177.9552374603</v>
      </c>
      <c r="L119" s="5">
        <f>J119+K119</f>
        <v>9399444.2866728716</v>
      </c>
      <c r="M119" s="119">
        <v>1086.5</v>
      </c>
      <c r="N119" s="55">
        <f>SUM(L119/M119)</f>
        <v>8651.1222150693702</v>
      </c>
      <c r="O119" s="33">
        <f>L119/$L$177</f>
        <v>4.8966827674294111E-3</v>
      </c>
      <c r="P119" s="180">
        <f>SUM(H119*'Front page'!$H$10)+H119</f>
        <v>8840.0183442245761</v>
      </c>
      <c r="Q119" s="180">
        <f>MIN(N119,P119)*M119</f>
        <v>9399444.2866728716</v>
      </c>
      <c r="R119" s="187"/>
      <c r="S119" s="5">
        <f>L119-F119</f>
        <v>252130.06667287089</v>
      </c>
      <c r="T119" s="5" t="str">
        <f>IF(S119&lt;0,S119,"")</f>
        <v/>
      </c>
      <c r="U119" s="5">
        <f>SUM(Q119-F119)</f>
        <v>252130.06667287089</v>
      </c>
      <c r="V119" s="5">
        <f>SUM(Q119-L119)</f>
        <v>0</v>
      </c>
      <c r="W119" s="52">
        <f>SUM(S119/F119)</f>
        <v>2.7563289137002105E-2</v>
      </c>
      <c r="X119" s="6">
        <f>SUM(F119*$X$1)+F119</f>
        <v>9604679.9309999999</v>
      </c>
      <c r="Y119" s="5">
        <f>MIN(L119,Q119)</f>
        <v>9399444.2866728716</v>
      </c>
      <c r="Z119" s="54">
        <f>SUM(Y119-F119)</f>
        <v>252130.06667287089</v>
      </c>
      <c r="AA119" s="5">
        <f>SUM(Y119-L119)</f>
        <v>0</v>
      </c>
      <c r="AB119" s="55">
        <f>SUM(F119*'Front page'!$H$11)+F119</f>
        <v>9421733.6466000006</v>
      </c>
      <c r="AC119" s="55">
        <f>MAX(AB119,L119)</f>
        <v>9421733.6466000006</v>
      </c>
      <c r="AD119" s="55">
        <f>MAX(Q119,AB119)</f>
        <v>9421733.6466000006</v>
      </c>
      <c r="AE119" s="55">
        <f>SUM(AC119-F119)</f>
        <v>274419.42659999989</v>
      </c>
      <c r="AF119" s="53">
        <f>SUM(AE119/F119)</f>
        <v>2.9999999999999985E-2</v>
      </c>
      <c r="AG119" s="313">
        <f>SUM(AD119-F119)</f>
        <v>274419.42659999989</v>
      </c>
      <c r="AH119" s="53">
        <f>SUM(AG119/F119)</f>
        <v>2.9999999999999985E-2</v>
      </c>
    </row>
    <row r="120" spans="1:34">
      <c r="A120" t="str">
        <f>RIGHT(C120,3)</f>
        <v>058</v>
      </c>
      <c r="B120">
        <f>A120*1</f>
        <v>58</v>
      </c>
      <c r="C120" s="14" t="s">
        <v>23</v>
      </c>
      <c r="D120" s="299">
        <v>4271323.8900000006</v>
      </c>
      <c r="E120" s="299">
        <v>959633.03999999992</v>
      </c>
      <c r="F120" s="299">
        <f>D120+E120</f>
        <v>5230956.9300000006</v>
      </c>
      <c r="G120" s="300">
        <v>692</v>
      </c>
      <c r="H120" s="301">
        <f>SUM(F120/G120)</f>
        <v>7559.1863150289028</v>
      </c>
      <c r="I120" s="302">
        <f>F120/$F$177</f>
        <v>2.9930864116074585E-3</v>
      </c>
      <c r="J120" s="303">
        <f>Calculations!AS15</f>
        <v>4705565.9899034491</v>
      </c>
      <c r="K120" s="5">
        <f>E120*1.091947</f>
        <v>1047868.4191288799</v>
      </c>
      <c r="L120" s="5">
        <f>J120+K120</f>
        <v>5753434.409032329</v>
      </c>
      <c r="M120" s="119">
        <v>692</v>
      </c>
      <c r="N120" s="55">
        <f>SUM(L120/M120)</f>
        <v>8314.2115737461409</v>
      </c>
      <c r="O120" s="33">
        <f>L120/$L$177</f>
        <v>2.9972775267351846E-3</v>
      </c>
      <c r="P120" s="180">
        <f>SUM(H120*'Front page'!$H$10)+H120</f>
        <v>7937.1456307803483</v>
      </c>
      <c r="Q120" s="180">
        <f>MIN(N120,P120)*M120</f>
        <v>5492504.7765000006</v>
      </c>
      <c r="R120" s="187"/>
      <c r="S120" s="5">
        <f>L120-F120</f>
        <v>522477.47903232835</v>
      </c>
      <c r="T120" s="5" t="str">
        <f>IF(S120&lt;0,S120,"")</f>
        <v/>
      </c>
      <c r="U120" s="5">
        <f>SUM(Q120-F120)</f>
        <v>261547.84649999999</v>
      </c>
      <c r="V120" s="5">
        <f>SUM(Q120-L120)</f>
        <v>-260929.63253232837</v>
      </c>
      <c r="W120" s="52">
        <f>SUM(S120/F120)</f>
        <v>9.9881816276458674E-2</v>
      </c>
      <c r="X120" s="6">
        <f>SUM(F120*$X$1)+F120</f>
        <v>5492504.7765000006</v>
      </c>
      <c r="Y120" s="5">
        <f>MIN(L120,Q120)</f>
        <v>5492504.7765000006</v>
      </c>
      <c r="Z120" s="54">
        <f>SUM(Y120-F120)</f>
        <v>261547.84649999999</v>
      </c>
      <c r="AA120" s="5">
        <f>SUM(Y120-L120)</f>
        <v>-260929.63253232837</v>
      </c>
      <c r="AB120" s="55">
        <f>SUM(F120*'Front page'!$H$11)+F120</f>
        <v>5387885.6379000004</v>
      </c>
      <c r="AC120" s="55">
        <f>MAX(AB120,L120)</f>
        <v>5753434.409032329</v>
      </c>
      <c r="AD120" s="55">
        <f>MAX(Q120,AB120)</f>
        <v>5492504.7765000006</v>
      </c>
      <c r="AE120" s="55">
        <f>SUM(AC120-F120)</f>
        <v>522477.47903232835</v>
      </c>
      <c r="AF120" s="53">
        <f>SUM(AE120/F120)</f>
        <v>9.9881816276458674E-2</v>
      </c>
      <c r="AG120" s="313">
        <f>SUM(AD120-F120)</f>
        <v>261547.84649999999</v>
      </c>
      <c r="AH120" s="53">
        <f>SUM(AG120/F120)</f>
        <v>4.9999999999999989E-2</v>
      </c>
    </row>
    <row r="121" spans="1:34">
      <c r="A121" t="str">
        <f>RIGHT(C121,3)</f>
        <v>150</v>
      </c>
      <c r="B121">
        <f>A121*1</f>
        <v>150</v>
      </c>
      <c r="C121" s="14" t="s">
        <v>48</v>
      </c>
      <c r="D121" s="299">
        <v>4667848.3500000006</v>
      </c>
      <c r="E121" s="299">
        <v>652254.32999999996</v>
      </c>
      <c r="F121" s="299">
        <f>D121+E121</f>
        <v>5320102.6800000006</v>
      </c>
      <c r="G121" s="300">
        <v>806</v>
      </c>
      <c r="H121" s="301">
        <f>SUM(F121/G121)</f>
        <v>6600.6236724565761</v>
      </c>
      <c r="I121" s="302">
        <f>F121/$F$177</f>
        <v>3.0440944654966644E-3</v>
      </c>
      <c r="J121" s="303">
        <f>Calculations!AS40</f>
        <v>5304604.2595676789</v>
      </c>
      <c r="K121" s="5">
        <f>E121*1.091947</f>
        <v>712227.1588805099</v>
      </c>
      <c r="L121" s="5">
        <f>J121+K121</f>
        <v>6016831.4184481893</v>
      </c>
      <c r="M121" s="119">
        <v>806</v>
      </c>
      <c r="N121" s="55">
        <f>SUM(L121/M121)</f>
        <v>7465.0513876528403</v>
      </c>
      <c r="O121" s="33">
        <f>L121/$L$177</f>
        <v>3.1344953832022743E-3</v>
      </c>
      <c r="P121" s="180">
        <f>SUM(H121*'Front page'!$H$10)+H121</f>
        <v>6930.6548560794054</v>
      </c>
      <c r="Q121" s="180">
        <f>MIN(N121,P121)*M121</f>
        <v>5586107.8140000012</v>
      </c>
      <c r="R121" s="187"/>
      <c r="S121" s="5">
        <f>L121-F121</f>
        <v>696728.73844818864</v>
      </c>
      <c r="T121" s="5" t="str">
        <f>IF(S121&lt;0,S121,"")</f>
        <v/>
      </c>
      <c r="U121" s="5">
        <f>SUM(Q121-F121)</f>
        <v>266005.13400000054</v>
      </c>
      <c r="V121" s="5">
        <f>SUM(Q121-L121)</f>
        <v>-430723.6044481881</v>
      </c>
      <c r="W121" s="52">
        <f>SUM(S121/F121)</f>
        <v>0.13096152092466543</v>
      </c>
      <c r="X121" s="6">
        <f>SUM(F121*$X$1)+F121</f>
        <v>5586107.8140000002</v>
      </c>
      <c r="Y121" s="5">
        <f>MIN(L121,Q121)</f>
        <v>5586107.8140000012</v>
      </c>
      <c r="Z121" s="54">
        <f>SUM(Y121-F121)</f>
        <v>266005.13400000054</v>
      </c>
      <c r="AA121" s="5">
        <f>SUM(Y121-L121)</f>
        <v>-430723.6044481881</v>
      </c>
      <c r="AB121" s="55">
        <f>SUM(F121*'Front page'!$H$11)+F121</f>
        <v>5479705.760400001</v>
      </c>
      <c r="AC121" s="55">
        <f>MAX(AB121,L121)</f>
        <v>6016831.4184481893</v>
      </c>
      <c r="AD121" s="55">
        <f>MAX(Q121,AB121)</f>
        <v>5586107.8140000012</v>
      </c>
      <c r="AE121" s="55">
        <f>SUM(AC121-F121)</f>
        <v>696728.73844818864</v>
      </c>
      <c r="AF121" s="53">
        <f>SUM(AE121/F121)</f>
        <v>0.13096152092466543</v>
      </c>
      <c r="AG121" s="313">
        <f>SUM(AD121-F121)</f>
        <v>266005.13400000054</v>
      </c>
      <c r="AH121" s="53">
        <f>SUM(AG121/F121)</f>
        <v>5.0000000000000093E-2</v>
      </c>
    </row>
    <row r="122" spans="1:34">
      <c r="A122" t="str">
        <f>RIGHT(C122,3)</f>
        <v>136</v>
      </c>
      <c r="B122">
        <f>A122*1</f>
        <v>136</v>
      </c>
      <c r="C122" s="14" t="s">
        <v>43</v>
      </c>
      <c r="D122" s="299">
        <v>4705297.74</v>
      </c>
      <c r="E122" s="299">
        <v>647622.92999999993</v>
      </c>
      <c r="F122" s="299">
        <f>D122+E122</f>
        <v>5352920.67</v>
      </c>
      <c r="G122" s="300">
        <v>817</v>
      </c>
      <c r="H122" s="301">
        <f>SUM(F122/G122)</f>
        <v>6551.9224847001224</v>
      </c>
      <c r="I122" s="302">
        <f>F122/$F$177</f>
        <v>3.0628724981281177E-3</v>
      </c>
      <c r="J122" s="303">
        <f>Calculations!AS35</f>
        <v>5156205.3497656118</v>
      </c>
      <c r="K122" s="5">
        <f>E122*1.091947</f>
        <v>707169.91554470989</v>
      </c>
      <c r="L122" s="5">
        <f>J122+K122</f>
        <v>5863375.2653103219</v>
      </c>
      <c r="M122" s="119">
        <v>817</v>
      </c>
      <c r="N122" s="55">
        <f>SUM(L122/M122)</f>
        <v>7176.7139110285461</v>
      </c>
      <c r="O122" s="33">
        <f>L122/$L$177</f>
        <v>3.0545517101819848E-3</v>
      </c>
      <c r="P122" s="180">
        <f>SUM(H122*'Front page'!$H$10)+H122</f>
        <v>6879.5186089351282</v>
      </c>
      <c r="Q122" s="180">
        <f>MIN(N122,P122)*M122</f>
        <v>5620566.7034999998</v>
      </c>
      <c r="R122" s="187"/>
      <c r="S122" s="5">
        <f>L122-F122</f>
        <v>510454.59531032201</v>
      </c>
      <c r="T122" s="5" t="str">
        <f>IF(S122&lt;0,S122,"")</f>
        <v/>
      </c>
      <c r="U122" s="5">
        <f>SUM(Q122-F122)</f>
        <v>267646.0334999999</v>
      </c>
      <c r="V122" s="5">
        <f>SUM(Q122-L122)</f>
        <v>-242808.56181032211</v>
      </c>
      <c r="W122" s="52">
        <f>SUM(S122/F122)</f>
        <v>9.5360014986047237E-2</v>
      </c>
      <c r="X122" s="6">
        <f>SUM(F122*$X$1)+F122</f>
        <v>5620566.7034999998</v>
      </c>
      <c r="Y122" s="5">
        <f>MIN(L122,Q122)</f>
        <v>5620566.7034999998</v>
      </c>
      <c r="Z122" s="54">
        <f>SUM(Y122-F122)</f>
        <v>267646.0334999999</v>
      </c>
      <c r="AA122" s="5">
        <f>SUM(Y122-L122)</f>
        <v>-242808.56181032211</v>
      </c>
      <c r="AB122" s="55">
        <f>SUM(F122*'Front page'!$H$11)+F122</f>
        <v>5513508.2900999999</v>
      </c>
      <c r="AC122" s="55">
        <f>MAX(AB122,L122)</f>
        <v>5863375.2653103219</v>
      </c>
      <c r="AD122" s="55">
        <f>MAX(Q122,AB122)</f>
        <v>5620566.7034999998</v>
      </c>
      <c r="AE122" s="55">
        <f>SUM(AC122-F122)</f>
        <v>510454.59531032201</v>
      </c>
      <c r="AF122" s="53">
        <f>SUM(AE122/F122)</f>
        <v>9.5360014986047237E-2</v>
      </c>
      <c r="AG122" s="313">
        <f>SUM(AD122-F122)</f>
        <v>267646.0334999999</v>
      </c>
      <c r="AH122" s="53">
        <f>SUM(AG122/F122)</f>
        <v>4.9999999999999982E-2</v>
      </c>
    </row>
    <row r="123" spans="1:34">
      <c r="A123" s="27" t="str">
        <f>RIGHT(C123,3)</f>
        <v>457</v>
      </c>
      <c r="B123" s="27">
        <f>A123*1</f>
        <v>457</v>
      </c>
      <c r="C123" s="15" t="s">
        <v>132</v>
      </c>
      <c r="D123" s="299">
        <v>4775691.09</v>
      </c>
      <c r="E123" s="299">
        <v>701423.88</v>
      </c>
      <c r="F123" s="299">
        <f>D123+E123</f>
        <v>5477114.9699999997</v>
      </c>
      <c r="G123" s="300">
        <v>978.5</v>
      </c>
      <c r="H123" s="301">
        <f>SUM(F123/G123)</f>
        <v>5597.4603679100665</v>
      </c>
      <c r="I123" s="302">
        <f>F123/$F$177</f>
        <v>3.1339348824496608E-3</v>
      </c>
      <c r="J123" s="303">
        <f>Calculations!AS124</f>
        <v>5786796.7010227749</v>
      </c>
      <c r="K123" s="5">
        <f>E123*1.091947</f>
        <v>765917.70149435999</v>
      </c>
      <c r="L123" s="5">
        <f>J123+K123</f>
        <v>6552714.4025171353</v>
      </c>
      <c r="M123" s="119">
        <v>978.5</v>
      </c>
      <c r="N123" s="55">
        <f>SUM(L123/M123)</f>
        <v>6696.693308653179</v>
      </c>
      <c r="O123" s="33">
        <f>L123/$L$177</f>
        <v>3.4136660334469489E-3</v>
      </c>
      <c r="P123" s="180">
        <f>SUM(H123*'Front page'!$H$10)+H123</f>
        <v>5877.3333863055695</v>
      </c>
      <c r="Q123" s="180">
        <f>MIN(N123,P123)*M123</f>
        <v>5750970.7184999995</v>
      </c>
      <c r="R123" s="187"/>
      <c r="S123" s="5">
        <f>L123-F123</f>
        <v>1075599.4325171355</v>
      </c>
      <c r="T123" s="5" t="str">
        <f>IF(S123&lt;0,S123,"")</f>
        <v/>
      </c>
      <c r="U123" s="5">
        <f>SUM(Q123-F123)</f>
        <v>273855.74849999975</v>
      </c>
      <c r="V123" s="5">
        <f>SUM(Q123-L123)</f>
        <v>-801743.68401713576</v>
      </c>
      <c r="W123" s="52">
        <f>SUM(S123/F123)</f>
        <v>0.19638065631423757</v>
      </c>
      <c r="X123" s="6">
        <f>SUM(F123*$X$1)+F123</f>
        <v>5750970.7184999995</v>
      </c>
      <c r="Y123" s="5">
        <f>MIN(L123,Q123)</f>
        <v>5750970.7184999995</v>
      </c>
      <c r="Z123" s="54">
        <f>SUM(Y123-F123)</f>
        <v>273855.74849999975</v>
      </c>
      <c r="AA123" s="5">
        <f>SUM(Y123-L123)</f>
        <v>-801743.68401713576</v>
      </c>
      <c r="AB123" s="55">
        <f>SUM(F123*'Front page'!$H$11)+F123</f>
        <v>5641428.4190999996</v>
      </c>
      <c r="AC123" s="55">
        <f>MAX(AB123,L123)</f>
        <v>6552714.4025171353</v>
      </c>
      <c r="AD123" s="55">
        <f>MAX(Q123,AB123)</f>
        <v>5750970.7184999995</v>
      </c>
      <c r="AE123" s="55">
        <f>SUM(AC123-F123)</f>
        <v>1075599.4325171355</v>
      </c>
      <c r="AF123" s="53">
        <f>SUM(AE123/F123)</f>
        <v>0.19638065631423757</v>
      </c>
      <c r="AG123" s="313">
        <f>SUM(AD123-F123)</f>
        <v>273855.74849999975</v>
      </c>
      <c r="AH123" s="53">
        <f>SUM(AG123/F123)</f>
        <v>4.9999999999999954E-2</v>
      </c>
    </row>
    <row r="124" spans="1:34">
      <c r="A124" s="27" t="str">
        <f>RIGHT(C124,3)</f>
        <v>455</v>
      </c>
      <c r="B124" s="27">
        <f>A124*1</f>
        <v>455</v>
      </c>
      <c r="C124" s="15" t="s">
        <v>130</v>
      </c>
      <c r="D124" s="299">
        <v>4814684.1500000004</v>
      </c>
      <c r="E124" s="299">
        <v>860974.97</v>
      </c>
      <c r="F124" s="299">
        <f>D124+E124</f>
        <v>5675659.1200000001</v>
      </c>
      <c r="G124" s="300">
        <v>881.5</v>
      </c>
      <c r="H124" s="301">
        <f>SUM(F124/G124)</f>
        <v>6438.6376857629039</v>
      </c>
      <c r="I124" s="302">
        <f>F124/$F$177</f>
        <v>3.2475392965982501E-3</v>
      </c>
      <c r="J124" s="303">
        <f>Calculations!AS122</f>
        <v>6087860.8250948563</v>
      </c>
      <c r="K124" s="5">
        <f>E124*1.091947</f>
        <v>940139.03556659003</v>
      </c>
      <c r="L124" s="5">
        <f>J124+K124</f>
        <v>7027999.8606614461</v>
      </c>
      <c r="M124" s="119">
        <v>881.5</v>
      </c>
      <c r="N124" s="55">
        <f>SUM(L124/M124)</f>
        <v>7972.7735231553561</v>
      </c>
      <c r="O124" s="33">
        <f>L124/$L$177</f>
        <v>3.6612681300735406E-3</v>
      </c>
      <c r="P124" s="180">
        <f>SUM(H124*'Front page'!$H$10)+H124</f>
        <v>6760.5695700510487</v>
      </c>
      <c r="Q124" s="180">
        <f>MIN(N124,P124)*M124</f>
        <v>5959442.0759999994</v>
      </c>
      <c r="R124" s="187"/>
      <c r="S124" s="5">
        <f>L124-F124</f>
        <v>1352340.740661446</v>
      </c>
      <c r="T124" s="5" t="str">
        <f>IF(S124&lt;0,S124,"")</f>
        <v/>
      </c>
      <c r="U124" s="5">
        <f>SUM(Q124-F124)</f>
        <v>283782.95599999931</v>
      </c>
      <c r="V124" s="5">
        <f>SUM(Q124-L124)</f>
        <v>-1068557.7846614467</v>
      </c>
      <c r="W124" s="52">
        <f>SUM(S124/F124)</f>
        <v>0.23827025409190641</v>
      </c>
      <c r="X124" s="6">
        <f>SUM(F124*$X$1)+F124</f>
        <v>5959442.0760000004</v>
      </c>
      <c r="Y124" s="5">
        <f>MIN(L124,Q124)</f>
        <v>5959442.0759999994</v>
      </c>
      <c r="Z124" s="54">
        <f>SUM(Y124-F124)</f>
        <v>283782.95599999931</v>
      </c>
      <c r="AA124" s="5">
        <f>SUM(Y124-L124)</f>
        <v>-1068557.7846614467</v>
      </c>
      <c r="AB124" s="55">
        <f>SUM(F124*'Front page'!$H$11)+F124</f>
        <v>5845928.8936000001</v>
      </c>
      <c r="AC124" s="55">
        <f>MAX(AB124,L124)</f>
        <v>7027999.8606614461</v>
      </c>
      <c r="AD124" s="55">
        <f>MAX(Q124,AB124)</f>
        <v>5959442.0759999994</v>
      </c>
      <c r="AE124" s="55">
        <f>SUM(AC124-F124)</f>
        <v>1352340.740661446</v>
      </c>
      <c r="AF124" s="53">
        <f>SUM(AE124/F124)</f>
        <v>0.23827025409190641</v>
      </c>
      <c r="AG124" s="313">
        <f>SUM(AD124-F124)</f>
        <v>283782.95599999931</v>
      </c>
      <c r="AH124" s="53">
        <f>SUM(AG124/F124)</f>
        <v>4.9999999999999878E-2</v>
      </c>
    </row>
    <row r="125" spans="1:34">
      <c r="A125" t="str">
        <f>RIGHT(C125,3)</f>
        <v>372</v>
      </c>
      <c r="B125">
        <f>A125*1</f>
        <v>372</v>
      </c>
      <c r="C125" s="14" t="s">
        <v>103</v>
      </c>
      <c r="D125" s="299">
        <v>5584711.8500000006</v>
      </c>
      <c r="E125" s="299">
        <v>582024.45000000007</v>
      </c>
      <c r="F125" s="299">
        <f>D125+E125</f>
        <v>6166736.3000000007</v>
      </c>
      <c r="G125" s="300">
        <v>964.5</v>
      </c>
      <c r="H125" s="301">
        <f>SUM(F125/G125)</f>
        <v>6393.7131156039404</v>
      </c>
      <c r="I125" s="302">
        <f>F125/$F$177</f>
        <v>3.5285273556049817E-3</v>
      </c>
      <c r="J125" s="303">
        <f>Calculations!AS95</f>
        <v>5819926.102154308</v>
      </c>
      <c r="K125" s="5">
        <f>E125*1.091947</f>
        <v>635539.85210415011</v>
      </c>
      <c r="L125" s="5">
        <f>J125+K125</f>
        <v>6455465.9542584578</v>
      </c>
      <c r="M125" s="119">
        <v>964.5</v>
      </c>
      <c r="N125" s="55">
        <f>SUM(L125/M125)</f>
        <v>6693.0699370227658</v>
      </c>
      <c r="O125" s="33">
        <f>L125/$L$177</f>
        <v>3.3630040170315001E-3</v>
      </c>
      <c r="P125" s="180">
        <f>SUM(H125*'Front page'!$H$10)+H125</f>
        <v>6713.3987713841379</v>
      </c>
      <c r="Q125" s="180">
        <f>MIN(N125,P125)*M125</f>
        <v>6455465.9542584578</v>
      </c>
      <c r="R125" s="187"/>
      <c r="S125" s="5">
        <f>L125-F125</f>
        <v>288729.65425845701</v>
      </c>
      <c r="T125" s="5" t="str">
        <f>IF(S125&lt;0,S125,"")</f>
        <v/>
      </c>
      <c r="U125" s="5">
        <f>SUM(Q125-F125)</f>
        <v>288729.65425845701</v>
      </c>
      <c r="V125" s="5">
        <f>SUM(Q125-L125)</f>
        <v>0</v>
      </c>
      <c r="W125" s="52">
        <f>SUM(S125/F125)</f>
        <v>4.6820496322902111E-2</v>
      </c>
      <c r="X125" s="6">
        <f>SUM(F125*$X$1)+F125</f>
        <v>6475073.1150000012</v>
      </c>
      <c r="Y125" s="5">
        <f>MIN(L125,Q125)</f>
        <v>6455465.9542584578</v>
      </c>
      <c r="Z125" s="54">
        <f>SUM(Y125-F125)</f>
        <v>288729.65425845701</v>
      </c>
      <c r="AA125" s="5">
        <f>SUM(Y125-L125)</f>
        <v>0</v>
      </c>
      <c r="AB125" s="55">
        <f>SUM(F125*'Front page'!$H$11)+F125</f>
        <v>6351738.3890000004</v>
      </c>
      <c r="AC125" s="55">
        <f>MAX(AB125,L125)</f>
        <v>6455465.9542584578</v>
      </c>
      <c r="AD125" s="55">
        <f>MAX(Q125,AB125)</f>
        <v>6455465.9542584578</v>
      </c>
      <c r="AE125" s="55">
        <f>SUM(AC125-F125)</f>
        <v>288729.65425845701</v>
      </c>
      <c r="AF125" s="53">
        <f>SUM(AE125/F125)</f>
        <v>4.6820496322902111E-2</v>
      </c>
      <c r="AG125" s="313">
        <f>SUM(AD125-F125)</f>
        <v>288729.65425845701</v>
      </c>
      <c r="AH125" s="53">
        <f>SUM(AG125/F125)</f>
        <v>4.6820496322902111E-2</v>
      </c>
    </row>
    <row r="126" spans="1:34">
      <c r="A126" t="str">
        <f>RIGHT(C126,3)</f>
        <v>431</v>
      </c>
      <c r="B126">
        <f>A126*1</f>
        <v>431</v>
      </c>
      <c r="C126" s="14" t="s">
        <v>123</v>
      </c>
      <c r="D126" s="299">
        <v>8388295.6999999993</v>
      </c>
      <c r="E126" s="299">
        <v>711420.72000000009</v>
      </c>
      <c r="F126" s="299">
        <f>D126+E126</f>
        <v>9099716.4199999999</v>
      </c>
      <c r="G126" s="300">
        <v>1479.5</v>
      </c>
      <c r="H126" s="301">
        <f>SUM(F126/G126)</f>
        <v>6150.5349239607976</v>
      </c>
      <c r="I126" s="302">
        <f>F126/$F$177</f>
        <v>5.2067409329985175E-3</v>
      </c>
      <c r="J126" s="303">
        <f>Calculations!AS115</f>
        <v>8622514.8756448086</v>
      </c>
      <c r="K126" s="5">
        <f>E126*1.091947</f>
        <v>776833.72094184009</v>
      </c>
      <c r="L126" s="5">
        <f>J126+K126</f>
        <v>9399348.5965866484</v>
      </c>
      <c r="M126" s="119">
        <v>1479.5</v>
      </c>
      <c r="N126" s="55">
        <f>SUM(L126/M126)</f>
        <v>6353.0575171251421</v>
      </c>
      <c r="O126" s="33">
        <f>L126/$L$177</f>
        <v>4.8966329172487055E-3</v>
      </c>
      <c r="P126" s="180">
        <f>SUM(H126*'Front page'!$H$10)+H126</f>
        <v>6458.0616701588378</v>
      </c>
      <c r="Q126" s="180">
        <f>MIN(N126,P126)*M126</f>
        <v>9399348.5965866484</v>
      </c>
      <c r="R126" s="187"/>
      <c r="S126" s="5">
        <f>L126-F126</f>
        <v>299632.17658664845</v>
      </c>
      <c r="T126" s="5" t="str">
        <f>IF(S126&lt;0,S126,"")</f>
        <v/>
      </c>
      <c r="U126" s="5">
        <f>SUM(Q126-F126)</f>
        <v>299632.17658664845</v>
      </c>
      <c r="V126" s="5">
        <f>SUM(Q126-L126)</f>
        <v>0</v>
      </c>
      <c r="W126" s="52">
        <f>SUM(S126/F126)</f>
        <v>3.2927638923790602E-2</v>
      </c>
      <c r="X126" s="6">
        <f>SUM(F126*$X$1)+F126</f>
        <v>9554702.2410000004</v>
      </c>
      <c r="Y126" s="5">
        <f>MIN(L126,Q126)</f>
        <v>9399348.5965866484</v>
      </c>
      <c r="Z126" s="54">
        <f>SUM(Y126-F126)</f>
        <v>299632.17658664845</v>
      </c>
      <c r="AA126" s="5">
        <f>SUM(Y126-L126)</f>
        <v>0</v>
      </c>
      <c r="AB126" s="55">
        <f>SUM(F126*'Front page'!$H$11)+F126</f>
        <v>9372707.9125999995</v>
      </c>
      <c r="AC126" s="55">
        <f>MAX(AB126,L126)</f>
        <v>9399348.5965866484</v>
      </c>
      <c r="AD126" s="55">
        <f>MAX(Q126,AB126)</f>
        <v>9399348.5965866484</v>
      </c>
      <c r="AE126" s="55">
        <f>SUM(AC126-F126)</f>
        <v>299632.17658664845</v>
      </c>
      <c r="AF126" s="53">
        <f>SUM(AE126/F126)</f>
        <v>3.2927638923790602E-2</v>
      </c>
      <c r="AG126" s="313">
        <f>SUM(AD126-F126)</f>
        <v>299632.17658664845</v>
      </c>
      <c r="AH126" s="53">
        <f>SUM(AG126/F126)</f>
        <v>3.2927638923790602E-2</v>
      </c>
    </row>
    <row r="127" spans="1:34">
      <c r="A127" s="27" t="str">
        <f>RIGHT(C127,3)</f>
        <v>475</v>
      </c>
      <c r="B127" s="27">
        <f>A127*1</f>
        <v>475</v>
      </c>
      <c r="C127" s="15" t="s">
        <v>147</v>
      </c>
      <c r="D127" s="299">
        <v>5227179.96</v>
      </c>
      <c r="E127" s="299">
        <v>829067.59000000008</v>
      </c>
      <c r="F127" s="299">
        <f>D127+E127</f>
        <v>6056247.5499999998</v>
      </c>
      <c r="G127" s="300">
        <v>965.5</v>
      </c>
      <c r="H127" s="301">
        <f>SUM(F127/G127)</f>
        <v>6272.6541170378041</v>
      </c>
      <c r="I127" s="302">
        <f>F127/$F$177</f>
        <v>3.4653071110711587E-3</v>
      </c>
      <c r="J127" s="303">
        <f>Calculations!AS139</f>
        <v>5733534.0226372145</v>
      </c>
      <c r="K127" s="5">
        <f>E127*1.091947</f>
        <v>905297.86769773008</v>
      </c>
      <c r="L127" s="5">
        <f>J127+K127</f>
        <v>6638831.8903349442</v>
      </c>
      <c r="M127" s="119">
        <v>965.5</v>
      </c>
      <c r="N127" s="55">
        <f>SUM(L127/M127)</f>
        <v>6876.0558159864777</v>
      </c>
      <c r="O127" s="33">
        <f>L127/$L$177</f>
        <v>3.458529325968367E-3</v>
      </c>
      <c r="P127" s="180">
        <f>SUM(H127*'Front page'!$H$10)+H127</f>
        <v>6586.2868228896941</v>
      </c>
      <c r="Q127" s="180">
        <f>MIN(N127,P127)*M127</f>
        <v>6359059.9274999993</v>
      </c>
      <c r="R127" s="187"/>
      <c r="S127" s="5">
        <f>L127-F127</f>
        <v>582584.34033494443</v>
      </c>
      <c r="T127" s="5" t="str">
        <f>IF(S127&lt;0,S127,"")</f>
        <v/>
      </c>
      <c r="U127" s="5">
        <f>SUM(Q127-F127)</f>
        <v>302812.37749999948</v>
      </c>
      <c r="V127" s="5">
        <f>SUM(Q127-L127)</f>
        <v>-279771.96283494495</v>
      </c>
      <c r="W127" s="52">
        <f>SUM(S127/F127)</f>
        <v>9.6195595626692054E-2</v>
      </c>
      <c r="X127" s="6">
        <f>SUM(F127*$X$1)+F127</f>
        <v>6359059.9275000002</v>
      </c>
      <c r="Y127" s="5">
        <f>MIN(L127,Q127)</f>
        <v>6359059.9274999993</v>
      </c>
      <c r="Z127" s="54">
        <f>SUM(Y127-F127)</f>
        <v>302812.37749999948</v>
      </c>
      <c r="AA127" s="5">
        <f>SUM(Y127-L127)</f>
        <v>-279771.96283494495</v>
      </c>
      <c r="AB127" s="55">
        <f>SUM(F127*'Front page'!$H$11)+F127</f>
        <v>6237934.9764999999</v>
      </c>
      <c r="AC127" s="55">
        <f>MAX(AB127,L127)</f>
        <v>6638831.8903349442</v>
      </c>
      <c r="AD127" s="55">
        <f>MAX(Q127,AB127)</f>
        <v>6359059.9274999993</v>
      </c>
      <c r="AE127" s="55">
        <f>SUM(AC127-F127)</f>
        <v>582584.34033494443</v>
      </c>
      <c r="AF127" s="53">
        <f>SUM(AE127/F127)</f>
        <v>9.6195595626692054E-2</v>
      </c>
      <c r="AG127" s="313">
        <f>SUM(AD127-F127)</f>
        <v>302812.37749999948</v>
      </c>
      <c r="AH127" s="53">
        <f>SUM(AG127/F127)</f>
        <v>4.9999999999999913E-2</v>
      </c>
    </row>
    <row r="128" spans="1:34">
      <c r="A128" s="27" t="str">
        <f>RIGHT(C128,3)</f>
        <v>493</v>
      </c>
      <c r="B128" s="27">
        <f>A128*1</f>
        <v>493</v>
      </c>
      <c r="C128" s="15" t="s">
        <v>164</v>
      </c>
      <c r="D128" s="299">
        <v>5252753.87</v>
      </c>
      <c r="E128" s="299">
        <v>811110.37</v>
      </c>
      <c r="F128" s="299">
        <f>D128+E128</f>
        <v>6063864.2400000002</v>
      </c>
      <c r="G128" s="300">
        <v>913</v>
      </c>
      <c r="H128" s="301">
        <f>SUM(F128/G128)</f>
        <v>6641.6913910186204</v>
      </c>
      <c r="I128" s="302">
        <f>F128/$F$177</f>
        <v>3.4696652833225267E-3</v>
      </c>
      <c r="J128" s="303">
        <f>Calculations!AS156</f>
        <v>5794039.6388791911</v>
      </c>
      <c r="K128" s="5">
        <f>E128*1.091947</f>
        <v>885689.53519038996</v>
      </c>
      <c r="L128" s="5">
        <f>J128+K128</f>
        <v>6679729.1740695816</v>
      </c>
      <c r="M128" s="119">
        <v>913</v>
      </c>
      <c r="N128" s="55">
        <f>SUM(L128/M128)</f>
        <v>7316.2422498023898</v>
      </c>
      <c r="O128" s="33">
        <f>L128/$L$177</f>
        <v>3.4798349498318983E-3</v>
      </c>
      <c r="P128" s="180">
        <f>SUM(H128*'Front page'!$H$10)+H128</f>
        <v>6973.7759605695519</v>
      </c>
      <c r="Q128" s="180">
        <f>MIN(N128,P128)*M128</f>
        <v>6367057.4520000005</v>
      </c>
      <c r="R128" s="187"/>
      <c r="S128" s="5">
        <f>L128-F128</f>
        <v>615864.93406958133</v>
      </c>
      <c r="T128" s="5" t="str">
        <f>IF(S128&lt;0,S128,"")</f>
        <v/>
      </c>
      <c r="U128" s="5">
        <f>SUM(Q128-F128)</f>
        <v>303193.21200000029</v>
      </c>
      <c r="V128" s="5">
        <f>SUM(Q128-L128)</f>
        <v>-312671.72206958104</v>
      </c>
      <c r="W128" s="52">
        <f>SUM(S128/F128)</f>
        <v>0.10156311383211002</v>
      </c>
      <c r="X128" s="6">
        <f>SUM(F128*$X$1)+F128</f>
        <v>6367057.4520000005</v>
      </c>
      <c r="Y128" s="5">
        <f>MIN(L128,Q128)</f>
        <v>6367057.4520000005</v>
      </c>
      <c r="Z128" s="54">
        <f>SUM(Y128-F128)</f>
        <v>303193.21200000029</v>
      </c>
      <c r="AA128" s="5">
        <f>SUM(Y128-L128)</f>
        <v>-312671.72206958104</v>
      </c>
      <c r="AB128" s="55">
        <f>SUM(F128*'Front page'!$H$11)+F128</f>
        <v>6245780.1672</v>
      </c>
      <c r="AC128" s="55">
        <f>MAX(AB128,L128)</f>
        <v>6679729.1740695816</v>
      </c>
      <c r="AD128" s="55">
        <f>MAX(Q128,AB128)</f>
        <v>6367057.4520000005</v>
      </c>
      <c r="AE128" s="55">
        <f>SUM(AC128-F128)</f>
        <v>615864.93406958133</v>
      </c>
      <c r="AF128" s="53">
        <f>SUM(AE128/F128)</f>
        <v>0.10156311383211002</v>
      </c>
      <c r="AG128" s="313">
        <f>SUM(AD128-F128)</f>
        <v>303193.21200000029</v>
      </c>
      <c r="AH128" s="53">
        <f>SUM(AG128/F128)</f>
        <v>5.0000000000000044E-2</v>
      </c>
    </row>
    <row r="129" spans="1:34">
      <c r="A129" t="str">
        <f>RIGHT(C129,3)</f>
        <v>041</v>
      </c>
      <c r="B129">
        <f>A129*1</f>
        <v>41</v>
      </c>
      <c r="C129" s="14" t="s">
        <v>19</v>
      </c>
      <c r="D129" s="299">
        <v>5544302.1400000006</v>
      </c>
      <c r="E129" s="299">
        <v>806193.21000000008</v>
      </c>
      <c r="F129" s="299">
        <f>D129+E129</f>
        <v>6350495.3500000006</v>
      </c>
      <c r="G129" s="300">
        <v>949.5</v>
      </c>
      <c r="H129" s="301">
        <f>SUM(F129/G129)</f>
        <v>6688.252080042128</v>
      </c>
      <c r="I129" s="302">
        <f>F129/$F$177</f>
        <v>3.6336719253127836E-3</v>
      </c>
      <c r="J129" s="303">
        <f>Calculations!AS11</f>
        <v>6049647.0956194354</v>
      </c>
      <c r="K129" s="5">
        <f>E129*1.091947</f>
        <v>880320.25707987009</v>
      </c>
      <c r="L129" s="5">
        <f>J129+K129</f>
        <v>6929967.3526993059</v>
      </c>
      <c r="M129" s="119">
        <v>949.5</v>
      </c>
      <c r="N129" s="55">
        <f>SUM(L129/M129)</f>
        <v>7298.5438153757832</v>
      </c>
      <c r="O129" s="33">
        <f>L129/$L$177</f>
        <v>3.6101976542299075E-3</v>
      </c>
      <c r="P129" s="180">
        <f>SUM(H129*'Front page'!$H$10)+H129</f>
        <v>7022.6646840442345</v>
      </c>
      <c r="Q129" s="180">
        <f>MIN(N129,P129)*M129</f>
        <v>6668020.1175000006</v>
      </c>
      <c r="R129" s="187"/>
      <c r="S129" s="5">
        <f>L129-F129</f>
        <v>579472.0026993053</v>
      </c>
      <c r="T129" s="5" t="str">
        <f>IF(S129&lt;0,S129,"")</f>
        <v/>
      </c>
      <c r="U129" s="5">
        <f>SUM(Q129-F129)</f>
        <v>317524.76750000007</v>
      </c>
      <c r="V129" s="5">
        <f>SUM(Q129-L129)</f>
        <v>-261947.23519930523</v>
      </c>
      <c r="W129" s="52">
        <f>SUM(S129/F129)</f>
        <v>9.1248315408861025E-2</v>
      </c>
      <c r="X129" s="6">
        <f>SUM(F129*$X$1)+F129</f>
        <v>6668020.1175000006</v>
      </c>
      <c r="Y129" s="5">
        <f>MIN(L129,Q129)</f>
        <v>6668020.1175000006</v>
      </c>
      <c r="Z129" s="54">
        <f>SUM(Y129-F129)</f>
        <v>317524.76750000007</v>
      </c>
      <c r="AA129" s="5">
        <f>SUM(Y129-L129)</f>
        <v>-261947.23519930523</v>
      </c>
      <c r="AB129" s="55">
        <f>SUM(F129*'Front page'!$H$11)+F129</f>
        <v>6541010.210500001</v>
      </c>
      <c r="AC129" s="55">
        <f>MAX(AB129,L129)</f>
        <v>6929967.3526993059</v>
      </c>
      <c r="AD129" s="55">
        <f>MAX(Q129,AB129)</f>
        <v>6668020.1175000006</v>
      </c>
      <c r="AE129" s="55">
        <f>SUM(AC129-F129)</f>
        <v>579472.0026993053</v>
      </c>
      <c r="AF129" s="53">
        <f>SUM(AE129/F129)</f>
        <v>9.1248315408861025E-2</v>
      </c>
      <c r="AG129" s="313">
        <f>SUM(AD129-F129)</f>
        <v>317524.76750000007</v>
      </c>
      <c r="AH129" s="53">
        <f>SUM(AG129/F129)</f>
        <v>5.000000000000001E-2</v>
      </c>
    </row>
    <row r="130" spans="1:34">
      <c r="A130" t="str">
        <f>RIGHT(C130,3)</f>
        <v>232</v>
      </c>
      <c r="B130">
        <f>A130*1</f>
        <v>232</v>
      </c>
      <c r="C130" s="14" t="s">
        <v>62</v>
      </c>
      <c r="D130" s="299">
        <v>6022881.5999999996</v>
      </c>
      <c r="E130" s="299">
        <v>586906.27</v>
      </c>
      <c r="F130" s="299">
        <f>D130+E130</f>
        <v>6609787.8699999992</v>
      </c>
      <c r="G130" s="300">
        <v>1057.5</v>
      </c>
      <c r="H130" s="301">
        <f>SUM(F130/G130)</f>
        <v>6250.390420803782</v>
      </c>
      <c r="I130" s="302">
        <f>F130/$F$177</f>
        <v>3.7820357770188716E-3</v>
      </c>
      <c r="J130" s="303">
        <f>Calculations!AS54</f>
        <v>6501974.0092297066</v>
      </c>
      <c r="K130" s="5">
        <f>E130*1.091947</f>
        <v>640870.54080769001</v>
      </c>
      <c r="L130" s="5">
        <f>J130+K130</f>
        <v>7142844.5500373971</v>
      </c>
      <c r="M130" s="119">
        <v>1057.5</v>
      </c>
      <c r="N130" s="55">
        <f>SUM(L130/M130)</f>
        <v>6754.4629314774438</v>
      </c>
      <c r="O130" s="33">
        <f>L130/$L$177</f>
        <v>3.7210969874236872E-3</v>
      </c>
      <c r="P130" s="180">
        <f>SUM(H130*'Front page'!$H$10)+H130</f>
        <v>6562.909941843971</v>
      </c>
      <c r="Q130" s="180">
        <f>MIN(N130,P130)*M130</f>
        <v>6940277.2634999994</v>
      </c>
      <c r="R130" s="187"/>
      <c r="S130" s="5">
        <f>L130-F130</f>
        <v>533056.68003739789</v>
      </c>
      <c r="T130" s="5" t="str">
        <f>IF(S130&lt;0,S130,"")</f>
        <v/>
      </c>
      <c r="U130" s="5">
        <f>SUM(Q130-F130)</f>
        <v>330489.39350000024</v>
      </c>
      <c r="V130" s="5">
        <f>SUM(Q130-L130)</f>
        <v>-202567.28653739765</v>
      </c>
      <c r="W130" s="52">
        <f>SUM(S130/F130)</f>
        <v>8.0646563932375931E-2</v>
      </c>
      <c r="X130" s="6">
        <f>SUM(F130*$X$1)+F130</f>
        <v>6940277.2634999994</v>
      </c>
      <c r="Y130" s="5">
        <f>MIN(L130,Q130)</f>
        <v>6940277.2634999994</v>
      </c>
      <c r="Z130" s="54">
        <f>SUM(Y130-F130)</f>
        <v>330489.39350000024</v>
      </c>
      <c r="AA130" s="5">
        <f>SUM(Y130-L130)</f>
        <v>-202567.28653739765</v>
      </c>
      <c r="AB130" s="55">
        <f>SUM(F130*'Front page'!$H$11)+F130</f>
        <v>6808081.506099999</v>
      </c>
      <c r="AC130" s="55">
        <f>MAX(AB130,L130)</f>
        <v>7142844.5500373971</v>
      </c>
      <c r="AD130" s="55">
        <f>MAX(Q130,AB130)</f>
        <v>6940277.2634999994</v>
      </c>
      <c r="AE130" s="55">
        <f>SUM(AC130-F130)</f>
        <v>533056.68003739789</v>
      </c>
      <c r="AF130" s="53">
        <f>SUM(AE130/F130)</f>
        <v>8.0646563932375931E-2</v>
      </c>
      <c r="AG130" s="313">
        <f>SUM(AD130-F130)</f>
        <v>330489.39350000024</v>
      </c>
      <c r="AH130" s="53">
        <f>SUM(AG130/F130)</f>
        <v>5.0000000000000044E-2</v>
      </c>
    </row>
    <row r="131" spans="1:34">
      <c r="A131" t="str">
        <f>RIGHT(C131,3)</f>
        <v>414</v>
      </c>
      <c r="B131">
        <f>A131*1</f>
        <v>414</v>
      </c>
      <c r="C131" s="14" t="s">
        <v>116</v>
      </c>
      <c r="D131" s="299">
        <v>10159890.649999999</v>
      </c>
      <c r="E131" s="299">
        <v>1375762.3299999998</v>
      </c>
      <c r="F131" s="299">
        <f>D131+E131</f>
        <v>11535652.979999999</v>
      </c>
      <c r="G131" s="300">
        <v>1839</v>
      </c>
      <c r="H131" s="301">
        <f>SUM(F131/G131)</f>
        <v>6272.7857422512225</v>
      </c>
      <c r="I131" s="302">
        <f>F131/$F$177</f>
        <v>6.6005525653328352E-3</v>
      </c>
      <c r="J131" s="303">
        <f>Calculations!AS108</f>
        <v>10366074.033487631</v>
      </c>
      <c r="K131" s="5">
        <f>E131*1.091947</f>
        <v>1502259.5489565099</v>
      </c>
      <c r="L131" s="5">
        <f>J131+K131</f>
        <v>11868333.582444141</v>
      </c>
      <c r="M131" s="119">
        <v>1839</v>
      </c>
      <c r="N131" s="55">
        <f>SUM(L131/M131)</f>
        <v>6453.6887343361286</v>
      </c>
      <c r="O131" s="33">
        <f>L131/$L$177</f>
        <v>6.1828617478650082E-3</v>
      </c>
      <c r="P131" s="180">
        <f>SUM(H131*'Front page'!$H$10)+H131</f>
        <v>6586.4250293637833</v>
      </c>
      <c r="Q131" s="180">
        <f>MIN(N131,P131)*M131</f>
        <v>11868333.582444141</v>
      </c>
      <c r="R131" s="187"/>
      <c r="S131" s="5">
        <f>L131-F131</f>
        <v>332680.6024441421</v>
      </c>
      <c r="T131" s="5" t="str">
        <f>IF(S131&lt;0,S131,"")</f>
        <v/>
      </c>
      <c r="U131" s="5">
        <f>SUM(Q131-F131)</f>
        <v>332680.6024441421</v>
      </c>
      <c r="V131" s="5">
        <f>SUM(Q131-L131)</f>
        <v>0</v>
      </c>
      <c r="W131" s="52">
        <f>SUM(S131/F131)</f>
        <v>2.883933861576184E-2</v>
      </c>
      <c r="X131" s="6">
        <f>SUM(F131*$X$1)+F131</f>
        <v>12112435.628999999</v>
      </c>
      <c r="Y131" s="5">
        <f>MIN(L131,Q131)</f>
        <v>11868333.582444141</v>
      </c>
      <c r="Z131" s="54">
        <f>SUM(Y131-F131)</f>
        <v>332680.6024441421</v>
      </c>
      <c r="AA131" s="5">
        <f>SUM(Y131-L131)</f>
        <v>0</v>
      </c>
      <c r="AB131" s="55">
        <f>SUM(F131*'Front page'!$H$11)+F131</f>
        <v>11881722.569399998</v>
      </c>
      <c r="AC131" s="55">
        <f>MAX(AB131,L131)</f>
        <v>11881722.569399998</v>
      </c>
      <c r="AD131" s="55">
        <f>MAX(Q131,AB131)</f>
        <v>11881722.569399998</v>
      </c>
      <c r="AE131" s="55">
        <f>SUM(AC131-F131)</f>
        <v>346069.58939999901</v>
      </c>
      <c r="AF131" s="53">
        <f>SUM(AE131/F131)</f>
        <v>2.9999999999999919E-2</v>
      </c>
      <c r="AG131" s="313">
        <f>SUM(AD131-F131)</f>
        <v>346069.58939999901</v>
      </c>
      <c r="AH131" s="53">
        <f>SUM(AG131/F131)</f>
        <v>2.9999999999999919E-2</v>
      </c>
    </row>
    <row r="132" spans="1:34">
      <c r="A132" s="27" t="str">
        <f>RIGHT(C132,3)</f>
        <v>795</v>
      </c>
      <c r="B132" s="27">
        <f>A132*1</f>
        <v>795</v>
      </c>
      <c r="C132" s="15" t="s">
        <v>176</v>
      </c>
      <c r="D132" s="299">
        <v>5810309.8699999992</v>
      </c>
      <c r="E132" s="299">
        <v>956953.53</v>
      </c>
      <c r="F132" s="299">
        <f>D132+E132</f>
        <v>6767263.3999999994</v>
      </c>
      <c r="G132" s="300">
        <v>1057.5</v>
      </c>
      <c r="H132" s="301">
        <f>SUM(F132/G132)</f>
        <v>6399.3034515366426</v>
      </c>
      <c r="I132" s="302">
        <f>F132/$F$177</f>
        <v>3.8721412539537928E-3</v>
      </c>
      <c r="J132" s="303">
        <f>Calculations!AS173</f>
        <v>6820455.4782209536</v>
      </c>
      <c r="K132" s="5">
        <f>E132*1.091947</f>
        <v>1044942.53622291</v>
      </c>
      <c r="L132" s="5">
        <f>J132+K132</f>
        <v>7865398.0144438632</v>
      </c>
      <c r="M132" s="119">
        <v>1057.5</v>
      </c>
      <c r="N132" s="55">
        <f>SUM(L132/M132)</f>
        <v>7437.7286188594453</v>
      </c>
      <c r="O132" s="33">
        <f>L132/$L$177</f>
        <v>4.09751446379749E-3</v>
      </c>
      <c r="P132" s="180">
        <f>SUM(H132*'Front page'!$H$10)+H132</f>
        <v>6719.2686241134743</v>
      </c>
      <c r="Q132" s="180">
        <f>MIN(N132,P132)*M132</f>
        <v>7105626.5699999994</v>
      </c>
      <c r="R132" s="187"/>
      <c r="S132" s="5">
        <f>L132-F132</f>
        <v>1098134.6144438637</v>
      </c>
      <c r="T132" s="5" t="str">
        <f>IF(S132&lt;0,S132,"")</f>
        <v/>
      </c>
      <c r="U132" s="5">
        <f>SUM(Q132-F132)</f>
        <v>338363.16999999993</v>
      </c>
      <c r="V132" s="5">
        <f>SUM(Q132-L132)</f>
        <v>-759771.44444386382</v>
      </c>
      <c r="W132" s="52">
        <f>SUM(S132/F132)</f>
        <v>0.1622715933362168</v>
      </c>
      <c r="X132" s="6">
        <f>SUM(F132*$X$1)+F132</f>
        <v>7105626.5699999994</v>
      </c>
      <c r="Y132" s="5">
        <f>MIN(L132,Q132)</f>
        <v>7105626.5699999994</v>
      </c>
      <c r="Z132" s="54">
        <f>SUM(Y132-F132)</f>
        <v>338363.16999999993</v>
      </c>
      <c r="AA132" s="5">
        <f>SUM(Y132-L132)</f>
        <v>-759771.44444386382</v>
      </c>
      <c r="AB132" s="55">
        <f>SUM(F132*'Front page'!$H$11)+F132</f>
        <v>6970281.3019999992</v>
      </c>
      <c r="AC132" s="55">
        <f>MAX(AB132,L132)</f>
        <v>7865398.0144438632</v>
      </c>
      <c r="AD132" s="55">
        <f>MAX(Q132,AB132)</f>
        <v>7105626.5699999994</v>
      </c>
      <c r="AE132" s="55">
        <f>SUM(AC132-F132)</f>
        <v>1098134.6144438637</v>
      </c>
      <c r="AF132" s="53">
        <f>SUM(AE132/F132)</f>
        <v>0.1622715933362168</v>
      </c>
      <c r="AG132" s="313">
        <f>SUM(AD132-F132)</f>
        <v>338363.16999999993</v>
      </c>
      <c r="AH132" s="53">
        <f>SUM(AG132/F132)</f>
        <v>4.9999999999999996E-2</v>
      </c>
    </row>
    <row r="133" spans="1:34">
      <c r="A133" t="str">
        <f>RIGHT(C133,3)</f>
        <v>391</v>
      </c>
      <c r="B133">
        <f>A133*1</f>
        <v>391</v>
      </c>
      <c r="C133" s="14" t="s">
        <v>108</v>
      </c>
      <c r="D133" s="299">
        <v>5821850.2699999996</v>
      </c>
      <c r="E133" s="299">
        <v>1026305.39</v>
      </c>
      <c r="F133" s="299">
        <f>D133+E133</f>
        <v>6848155.6599999992</v>
      </c>
      <c r="G133" s="300">
        <v>1054</v>
      </c>
      <c r="H133" s="301">
        <f>SUM(F133/G133)</f>
        <v>6497.30138519924</v>
      </c>
      <c r="I133" s="302">
        <f>F133/$F$177</f>
        <v>3.918426766805495E-3</v>
      </c>
      <c r="J133" s="303">
        <f>Calculations!AS100</f>
        <v>6600594.3820770793</v>
      </c>
      <c r="K133" s="5">
        <f>E133*1.091947</f>
        <v>1120671.0916943301</v>
      </c>
      <c r="L133" s="5">
        <f>J133+K133</f>
        <v>7721265.4737714091</v>
      </c>
      <c r="M133" s="119">
        <v>1054</v>
      </c>
      <c r="N133" s="55">
        <f>SUM(L133/M133)</f>
        <v>7325.6788176199325</v>
      </c>
      <c r="O133" s="33">
        <f>L133/$L$177</f>
        <v>4.0224279686163532E-3</v>
      </c>
      <c r="P133" s="180">
        <f>SUM(H133*'Front page'!$H$10)+H133</f>
        <v>6822.1664544592022</v>
      </c>
      <c r="Q133" s="180">
        <f>MIN(N133,P133)*M133</f>
        <v>7190563.442999999</v>
      </c>
      <c r="R133" s="187"/>
      <c r="S133" s="5">
        <f>L133-F133</f>
        <v>873109.81377140991</v>
      </c>
      <c r="T133" s="5" t="str">
        <f>IF(S133&lt;0,S133,"")</f>
        <v/>
      </c>
      <c r="U133" s="5">
        <f>SUM(Q133-F133)</f>
        <v>342407.78299999982</v>
      </c>
      <c r="V133" s="5">
        <f>SUM(Q133-L133)</f>
        <v>-530702.03077141009</v>
      </c>
      <c r="W133" s="52">
        <f>SUM(S133/F133)</f>
        <v>0.12749561445736909</v>
      </c>
      <c r="X133" s="6">
        <f>SUM(F133*$X$1)+F133</f>
        <v>7190563.442999999</v>
      </c>
      <c r="Y133" s="5">
        <f>MIN(L133,Q133)</f>
        <v>7190563.442999999</v>
      </c>
      <c r="Z133" s="54">
        <f>SUM(Y133-F133)</f>
        <v>342407.78299999982</v>
      </c>
      <c r="AA133" s="5">
        <f>SUM(Y133-L133)</f>
        <v>-530702.03077141009</v>
      </c>
      <c r="AB133" s="55">
        <f>SUM(F133*'Front page'!$H$11)+F133</f>
        <v>7053600.3297999995</v>
      </c>
      <c r="AC133" s="55">
        <f>MAX(AB133,L133)</f>
        <v>7721265.4737714091</v>
      </c>
      <c r="AD133" s="55">
        <f>MAX(Q133,AB133)</f>
        <v>7190563.442999999</v>
      </c>
      <c r="AE133" s="55">
        <f>SUM(AC133-F133)</f>
        <v>873109.81377140991</v>
      </c>
      <c r="AF133" s="53">
        <f>SUM(AE133/F133)</f>
        <v>0.12749561445736909</v>
      </c>
      <c r="AG133" s="313">
        <f>SUM(AD133-F133)</f>
        <v>342407.78299999982</v>
      </c>
      <c r="AH133" s="53">
        <f>SUM(AG133/F133)</f>
        <v>4.9999999999999982E-2</v>
      </c>
    </row>
    <row r="134" spans="1:34">
      <c r="A134" t="str">
        <f>RIGHT(C134,3)</f>
        <v>137</v>
      </c>
      <c r="B134">
        <f>A134*1</f>
        <v>137</v>
      </c>
      <c r="C134" s="14" t="s">
        <v>44</v>
      </c>
      <c r="D134" s="299">
        <v>5828799.8799999999</v>
      </c>
      <c r="E134" s="299">
        <v>1037067.69</v>
      </c>
      <c r="F134" s="299">
        <f>D134+E134</f>
        <v>6865867.5700000003</v>
      </c>
      <c r="G134" s="300">
        <v>1032</v>
      </c>
      <c r="H134" s="301">
        <f>SUM(F134/G134)</f>
        <v>6652.9724515503876</v>
      </c>
      <c r="I134" s="302">
        <f>F134/$F$177</f>
        <v>3.9285612943602112E-3</v>
      </c>
      <c r="J134" s="303">
        <f>Calculations!AS36</f>
        <v>6303057.9390178761</v>
      </c>
      <c r="K134" s="5">
        <f>E134*1.091947</f>
        <v>1132422.9528924299</v>
      </c>
      <c r="L134" s="5">
        <f>J134+K134</f>
        <v>7435480.8919103062</v>
      </c>
      <c r="M134" s="119">
        <v>1032</v>
      </c>
      <c r="N134" s="55">
        <f>SUM(L134/M134)</f>
        <v>7204.923344874328</v>
      </c>
      <c r="O134" s="33">
        <f>L134/$L$177</f>
        <v>3.8735472056141795E-3</v>
      </c>
      <c r="P134" s="180">
        <f>SUM(H134*'Front page'!$H$10)+H134</f>
        <v>6985.6210741279074</v>
      </c>
      <c r="Q134" s="180">
        <f>MIN(N134,P134)*M134</f>
        <v>7209160.9485000009</v>
      </c>
      <c r="R134" s="187"/>
      <c r="S134" s="5">
        <f>L134-F134</f>
        <v>569613.32191030588</v>
      </c>
      <c r="T134" s="5" t="str">
        <f>IF(S134&lt;0,S134,"")</f>
        <v/>
      </c>
      <c r="U134" s="5">
        <f>SUM(Q134-F134)</f>
        <v>343293.37850000057</v>
      </c>
      <c r="V134" s="5">
        <f>SUM(Q134-L134)</f>
        <v>-226319.94341030531</v>
      </c>
      <c r="W134" s="52">
        <f>SUM(S134/F134)</f>
        <v>8.2963051078817393E-2</v>
      </c>
      <c r="X134" s="6">
        <f>SUM(F134*$X$1)+F134</f>
        <v>7209160.9484999999</v>
      </c>
      <c r="Y134" s="5">
        <f>MIN(L134,Q134)</f>
        <v>7209160.9485000009</v>
      </c>
      <c r="Z134" s="54">
        <f>SUM(Y134-F134)</f>
        <v>343293.37850000057</v>
      </c>
      <c r="AA134" s="5">
        <f>SUM(Y134-L134)</f>
        <v>-226319.94341030531</v>
      </c>
      <c r="AB134" s="55">
        <f>SUM(F134*'Front page'!$H$11)+F134</f>
        <v>7071843.5970999999</v>
      </c>
      <c r="AC134" s="55">
        <f>MAX(AB134,L134)</f>
        <v>7435480.8919103062</v>
      </c>
      <c r="AD134" s="55">
        <f>MAX(Q134,AB134)</f>
        <v>7209160.9485000009</v>
      </c>
      <c r="AE134" s="55">
        <f>SUM(AC134-F134)</f>
        <v>569613.32191030588</v>
      </c>
      <c r="AF134" s="53">
        <f>SUM(AE134/F134)</f>
        <v>8.2963051078817393E-2</v>
      </c>
      <c r="AG134" s="313">
        <f>SUM(AD134-F134)</f>
        <v>343293.37850000057</v>
      </c>
      <c r="AH134" s="53">
        <f>SUM(AG134/F134)</f>
        <v>5.0000000000000079E-2</v>
      </c>
    </row>
    <row r="135" spans="1:34">
      <c r="A135" t="str">
        <f>RIGHT(C135,3)</f>
        <v>370</v>
      </c>
      <c r="B135">
        <f>A135*1</f>
        <v>370</v>
      </c>
      <c r="C135" s="14" t="s">
        <v>101</v>
      </c>
      <c r="D135" s="299">
        <v>6334098.5900000008</v>
      </c>
      <c r="E135" s="299">
        <v>643081.38</v>
      </c>
      <c r="F135" s="299">
        <f>D135+E135</f>
        <v>6977179.9700000007</v>
      </c>
      <c r="G135" s="300">
        <v>1162.5</v>
      </c>
      <c r="H135" s="301">
        <f>SUM(F135/G135)</f>
        <v>6001.8752430107534</v>
      </c>
      <c r="I135" s="302">
        <f>F135/$F$177</f>
        <v>3.9922528208517927E-3</v>
      </c>
      <c r="J135" s="303">
        <f>Calculations!AS93</f>
        <v>7118568.3950771699</v>
      </c>
      <c r="K135" s="5">
        <f>E135*1.091947</f>
        <v>702210.78364686004</v>
      </c>
      <c r="L135" s="5">
        <f>J135+K135</f>
        <v>7820779.17872403</v>
      </c>
      <c r="M135" s="119">
        <v>1162.5</v>
      </c>
      <c r="N135" s="55">
        <f>SUM(L135/M135)</f>
        <v>6727.5519816980905</v>
      </c>
      <c r="O135" s="33">
        <f>L135/$L$177</f>
        <v>4.0742700806926449E-3</v>
      </c>
      <c r="P135" s="180">
        <f>SUM(H135*'Front page'!$H$10)+H135</f>
        <v>6301.9690051612906</v>
      </c>
      <c r="Q135" s="180">
        <f>MIN(N135,P135)*M135</f>
        <v>7326038.9685000004</v>
      </c>
      <c r="R135" s="187"/>
      <c r="S135" s="5">
        <f>L135-F135</f>
        <v>843599.20872402936</v>
      </c>
      <c r="T135" s="5" t="str">
        <f>IF(S135&lt;0,S135,"")</f>
        <v/>
      </c>
      <c r="U135" s="5">
        <f>SUM(Q135-F135)</f>
        <v>348858.99849999975</v>
      </c>
      <c r="V135" s="5">
        <f>SUM(Q135-L135)</f>
        <v>-494740.21022402961</v>
      </c>
      <c r="W135" s="52">
        <f>SUM(S135/F135)</f>
        <v>0.12090833436306349</v>
      </c>
      <c r="X135" s="6">
        <f>SUM(F135*$X$1)+F135</f>
        <v>7326038.9685000004</v>
      </c>
      <c r="Y135" s="5">
        <f>MIN(L135,Q135)</f>
        <v>7326038.9685000004</v>
      </c>
      <c r="Z135" s="54">
        <f>SUM(Y135-F135)</f>
        <v>348858.99849999975</v>
      </c>
      <c r="AA135" s="5">
        <f>SUM(Y135-L135)</f>
        <v>-494740.21022402961</v>
      </c>
      <c r="AB135" s="55">
        <f>SUM(F135*'Front page'!$H$11)+F135</f>
        <v>7186495.3691000007</v>
      </c>
      <c r="AC135" s="55">
        <f>MAX(AB135,L135)</f>
        <v>7820779.17872403</v>
      </c>
      <c r="AD135" s="55">
        <f>MAX(Q135,AB135)</f>
        <v>7326038.9685000004</v>
      </c>
      <c r="AE135" s="55">
        <f>SUM(AC135-F135)</f>
        <v>843599.20872402936</v>
      </c>
      <c r="AF135" s="53">
        <f>SUM(AE135/F135)</f>
        <v>0.12090833436306349</v>
      </c>
      <c r="AG135" s="313">
        <f>SUM(AD135-F135)</f>
        <v>348858.99849999975</v>
      </c>
      <c r="AH135" s="53">
        <f>SUM(AG135/F135)</f>
        <v>4.9999999999999961E-2</v>
      </c>
    </row>
    <row r="136" spans="1:34">
      <c r="A136" t="str">
        <f>RIGHT(C136,3)</f>
        <v>033</v>
      </c>
      <c r="B136">
        <f>A136*1</f>
        <v>33</v>
      </c>
      <c r="C136" s="14" t="s">
        <v>18</v>
      </c>
      <c r="D136" s="299">
        <v>6316544.3899999997</v>
      </c>
      <c r="E136" s="299">
        <v>713086.2</v>
      </c>
      <c r="F136" s="299">
        <f>D136+E136</f>
        <v>7029630.5899999999</v>
      </c>
      <c r="G136" s="300">
        <v>1106</v>
      </c>
      <c r="H136" s="301">
        <f>SUM(F136/G136)</f>
        <v>6355.9046925858947</v>
      </c>
      <c r="I136" s="302">
        <f>F136/$F$177</f>
        <v>4.0222643923679023E-3</v>
      </c>
      <c r="J136" s="303">
        <f>Calculations!AS10</f>
        <v>7026916.7315211771</v>
      </c>
      <c r="K136" s="5">
        <f>E136*1.091947</f>
        <v>778652.33683139994</v>
      </c>
      <c r="L136" s="5">
        <f>J136+K136</f>
        <v>7805569.0683525773</v>
      </c>
      <c r="M136" s="119">
        <v>1106</v>
      </c>
      <c r="N136" s="55">
        <f>SUM(L136/M136)</f>
        <v>7057.4765536641744</v>
      </c>
      <c r="O136" s="33">
        <f>L136/$L$177</f>
        <v>4.0663463052996477E-3</v>
      </c>
      <c r="P136" s="180">
        <f>SUM(H136*'Front page'!$H$10)+H136</f>
        <v>6673.6999272151897</v>
      </c>
      <c r="Q136" s="180">
        <f>MIN(N136,P136)*M136</f>
        <v>7381112.1195</v>
      </c>
      <c r="R136" s="187"/>
      <c r="S136" s="5">
        <f>L136-F136</f>
        <v>775938.47835257743</v>
      </c>
      <c r="T136" s="5" t="str">
        <f>IF(S136&lt;0,S136,"")</f>
        <v/>
      </c>
      <c r="U136" s="5">
        <f>SUM(Q136-F136)</f>
        <v>351481.52950000018</v>
      </c>
      <c r="V136" s="5">
        <f>SUM(Q136-L136)</f>
        <v>-424456.94885257725</v>
      </c>
      <c r="W136" s="52">
        <f>SUM(S136/F136)</f>
        <v>0.11038111724624458</v>
      </c>
      <c r="X136" s="6">
        <f>SUM(F136*$X$1)+F136</f>
        <v>7381112.1195</v>
      </c>
      <c r="Y136" s="5">
        <f>MIN(L136,Q136)</f>
        <v>7381112.1195</v>
      </c>
      <c r="Z136" s="54">
        <f>SUM(Y136-F136)</f>
        <v>351481.52950000018</v>
      </c>
      <c r="AA136" s="5">
        <f>SUM(Y136-L136)</f>
        <v>-424456.94885257725</v>
      </c>
      <c r="AB136" s="55">
        <f>SUM(F136*'Front page'!$H$11)+F136</f>
        <v>7240519.5077</v>
      </c>
      <c r="AC136" s="55">
        <f>MAX(AB136,L136)</f>
        <v>7805569.0683525773</v>
      </c>
      <c r="AD136" s="55">
        <f>MAX(Q136,AB136)</f>
        <v>7381112.1195</v>
      </c>
      <c r="AE136" s="55">
        <f>SUM(AC136-F136)</f>
        <v>775938.47835257743</v>
      </c>
      <c r="AF136" s="53">
        <f>SUM(AE136/F136)</f>
        <v>0.11038111724624458</v>
      </c>
      <c r="AG136" s="313">
        <f>SUM(AD136-F136)</f>
        <v>351481.52950000018</v>
      </c>
      <c r="AH136" s="53">
        <f>SUM(AG136/F136)</f>
        <v>5.0000000000000024E-2</v>
      </c>
    </row>
    <row r="137" spans="1:34">
      <c r="A137" t="str">
        <f>RIGHT(C137,3)</f>
        <v>052</v>
      </c>
      <c r="B137">
        <f>A137*1</f>
        <v>52</v>
      </c>
      <c r="C137" s="14" t="s">
        <v>21</v>
      </c>
      <c r="D137" s="299">
        <v>9204894.6300000008</v>
      </c>
      <c r="E137" s="299">
        <v>1332988.7000000002</v>
      </c>
      <c r="F137" s="299">
        <f>D137+E137</f>
        <v>10537883.330000002</v>
      </c>
      <c r="G137" s="300">
        <v>1701</v>
      </c>
      <c r="H137" s="301">
        <f>SUM(F137/G137)</f>
        <v>6195.1107172251632</v>
      </c>
      <c r="I137" s="302">
        <f>F137/$F$177</f>
        <v>6.0296415788167754E-3</v>
      </c>
      <c r="J137" s="303">
        <f>Calculations!AS13</f>
        <v>9441526.7659230232</v>
      </c>
      <c r="K137" s="5">
        <f>E137*1.091947</f>
        <v>1455553.0119989002</v>
      </c>
      <c r="L137" s="5">
        <f>J137+K137</f>
        <v>10897079.777921923</v>
      </c>
      <c r="M137" s="119">
        <v>1701</v>
      </c>
      <c r="N137" s="55">
        <f>SUM(L137/M137)</f>
        <v>6406.2785290546281</v>
      </c>
      <c r="O137" s="33">
        <f>L137/$L$177</f>
        <v>5.6768827109822161E-3</v>
      </c>
      <c r="P137" s="180">
        <f>SUM(H137*'Front page'!$H$10)+H137</f>
        <v>6504.8662530864212</v>
      </c>
      <c r="Q137" s="180">
        <f>MIN(N137,P137)*M137</f>
        <v>10897079.777921923</v>
      </c>
      <c r="R137" s="187"/>
      <c r="S137" s="5">
        <f>L137-F137</f>
        <v>359196.44792192057</v>
      </c>
      <c r="T137" s="5" t="str">
        <f>IF(S137&lt;0,S137,"")</f>
        <v/>
      </c>
      <c r="U137" s="5">
        <f>SUM(Q137-F137)</f>
        <v>359196.44792192057</v>
      </c>
      <c r="V137" s="5">
        <f>SUM(Q137-L137)</f>
        <v>0</v>
      </c>
      <c r="W137" s="52">
        <f>SUM(S137/F137)</f>
        <v>3.4086204664966667E-2</v>
      </c>
      <c r="X137" s="6">
        <f>SUM(F137*$X$1)+F137</f>
        <v>11064777.496500002</v>
      </c>
      <c r="Y137" s="5">
        <f>MIN(L137,Q137)</f>
        <v>10897079.777921923</v>
      </c>
      <c r="Z137" s="54">
        <f>SUM(Y137-F137)</f>
        <v>359196.44792192057</v>
      </c>
      <c r="AA137" s="5">
        <f>SUM(Y137-L137)</f>
        <v>0</v>
      </c>
      <c r="AB137" s="55">
        <f>SUM(F137*'Front page'!$H$11)+F137</f>
        <v>10854019.829900002</v>
      </c>
      <c r="AC137" s="55">
        <f>MAX(AB137,L137)</f>
        <v>10897079.777921923</v>
      </c>
      <c r="AD137" s="55">
        <f>MAX(Q137,AB137)</f>
        <v>10897079.777921923</v>
      </c>
      <c r="AE137" s="55">
        <f>SUM(AC137-F137)</f>
        <v>359196.44792192057</v>
      </c>
      <c r="AF137" s="53">
        <f>SUM(AE137/F137)</f>
        <v>3.4086204664966667E-2</v>
      </c>
      <c r="AG137" s="313">
        <f>SUM(AD137-F137)</f>
        <v>359196.44792192057</v>
      </c>
      <c r="AH137" s="53">
        <f>SUM(AG137/F137)</f>
        <v>3.4086204664966667E-2</v>
      </c>
    </row>
    <row r="138" spans="1:34">
      <c r="A138" t="str">
        <f>RIGHT(C138,3)</f>
        <v>421</v>
      </c>
      <c r="B138">
        <f>A138*1</f>
        <v>421</v>
      </c>
      <c r="C138" s="14" t="s">
        <v>121</v>
      </c>
      <c r="D138" s="299">
        <v>6479169.7300000004</v>
      </c>
      <c r="E138" s="299">
        <v>782906.17999999993</v>
      </c>
      <c r="F138" s="299">
        <f>D138+E138</f>
        <v>7262075.9100000001</v>
      </c>
      <c r="G138" s="300">
        <v>1141.5</v>
      </c>
      <c r="H138" s="301">
        <f>SUM(F138/G138)</f>
        <v>6361.871143232589</v>
      </c>
      <c r="I138" s="302">
        <f>F138/$F$177</f>
        <v>4.1552666208404176E-3</v>
      </c>
      <c r="J138" s="303">
        <f>Calculations!AS113</f>
        <v>7369508.141408734</v>
      </c>
      <c r="K138" s="5">
        <f>E138*1.091947</f>
        <v>854892.05453245994</v>
      </c>
      <c r="L138" s="5">
        <f>J138+K138</f>
        <v>8224400.195941194</v>
      </c>
      <c r="M138" s="119">
        <v>1141.5</v>
      </c>
      <c r="N138" s="55">
        <f>SUM(L138/M138)</f>
        <v>7204.905997320363</v>
      </c>
      <c r="O138" s="33">
        <f>L138/$L$177</f>
        <v>4.2845382645662266E-3</v>
      </c>
      <c r="P138" s="180">
        <f>SUM(H138*'Front page'!$H$10)+H138</f>
        <v>6679.9647003942182</v>
      </c>
      <c r="Q138" s="180">
        <f>MIN(N138,P138)*M138</f>
        <v>7625179.7055000002</v>
      </c>
      <c r="R138" s="187"/>
      <c r="S138" s="5">
        <f>L138-F138</f>
        <v>962324.28594119381</v>
      </c>
      <c r="T138" s="5" t="str">
        <f>IF(S138&lt;0,S138,"")</f>
        <v/>
      </c>
      <c r="U138" s="5">
        <f>SUM(Q138-F138)</f>
        <v>363103.79550000001</v>
      </c>
      <c r="V138" s="5">
        <f>SUM(Q138-L138)</f>
        <v>-599220.4904411938</v>
      </c>
      <c r="W138" s="52">
        <f>SUM(S138/F138)</f>
        <v>0.13251366384315222</v>
      </c>
      <c r="X138" s="6">
        <f>SUM(F138*$X$1)+F138</f>
        <v>7625179.7055000002</v>
      </c>
      <c r="Y138" s="5">
        <f>MIN(L138,Q138)</f>
        <v>7625179.7055000002</v>
      </c>
      <c r="Z138" s="54">
        <f>SUM(Y138-F138)</f>
        <v>363103.79550000001</v>
      </c>
      <c r="AA138" s="5">
        <f>SUM(Y138-L138)</f>
        <v>-599220.4904411938</v>
      </c>
      <c r="AB138" s="55">
        <f>SUM(F138*'Front page'!$H$11)+F138</f>
        <v>7479938.1873000003</v>
      </c>
      <c r="AC138" s="55">
        <f>MAX(AB138,L138)</f>
        <v>8224400.195941194</v>
      </c>
      <c r="AD138" s="55">
        <f>MAX(Q138,AB138)</f>
        <v>7625179.7055000002</v>
      </c>
      <c r="AE138" s="55">
        <f>SUM(AC138-F138)</f>
        <v>962324.28594119381</v>
      </c>
      <c r="AF138" s="53">
        <f>SUM(AE138/F138)</f>
        <v>0.13251366384315222</v>
      </c>
      <c r="AG138" s="313">
        <f>SUM(AD138-F138)</f>
        <v>363103.79550000001</v>
      </c>
      <c r="AH138" s="53">
        <f>SUM(AG138/F138)</f>
        <v>0.05</v>
      </c>
    </row>
    <row r="139" spans="1:34">
      <c r="A139" t="str">
        <f>RIGHT(C139,3)</f>
        <v>412</v>
      </c>
      <c r="B139">
        <f>A139*1</f>
        <v>412</v>
      </c>
      <c r="C139" s="14" t="s">
        <v>114</v>
      </c>
      <c r="D139" s="299">
        <v>6782677.6000000006</v>
      </c>
      <c r="E139" s="299">
        <v>627459.07000000007</v>
      </c>
      <c r="F139" s="299">
        <f>D139+E139</f>
        <v>7410136.6700000009</v>
      </c>
      <c r="G139" s="300">
        <v>1255</v>
      </c>
      <c r="H139" s="301">
        <f>SUM(F139/G139)</f>
        <v>5904.4913705179288</v>
      </c>
      <c r="I139" s="302">
        <f>F139/$F$177</f>
        <v>4.2399850872278429E-3</v>
      </c>
      <c r="J139" s="303">
        <f>Calculations!AS106</f>
        <v>7542776.7746549938</v>
      </c>
      <c r="K139" s="5">
        <f>E139*1.091947</f>
        <v>685152.04910929012</v>
      </c>
      <c r="L139" s="5">
        <f>J139+K139</f>
        <v>8227928.8237642841</v>
      </c>
      <c r="M139" s="119">
        <v>1255</v>
      </c>
      <c r="N139" s="55">
        <f>SUM(L139/M139)</f>
        <v>6556.1185846727367</v>
      </c>
      <c r="O139" s="33">
        <f>L139/$L$177</f>
        <v>4.2863765190977732E-3</v>
      </c>
      <c r="P139" s="180">
        <f>SUM(H139*'Front page'!$H$10)+H139</f>
        <v>6199.7159390438255</v>
      </c>
      <c r="Q139" s="180">
        <f>MIN(N139,P139)*M139</f>
        <v>7780643.5035000006</v>
      </c>
      <c r="R139" s="187"/>
      <c r="S139" s="5">
        <f>L139-F139</f>
        <v>817792.15376428328</v>
      </c>
      <c r="T139" s="5" t="str">
        <f>IF(S139&lt;0,S139,"")</f>
        <v/>
      </c>
      <c r="U139" s="5">
        <f>SUM(Q139-F139)</f>
        <v>370506.83349999972</v>
      </c>
      <c r="V139" s="5">
        <f>SUM(Q139-L139)</f>
        <v>-447285.32026428357</v>
      </c>
      <c r="W139" s="52">
        <f>SUM(S139/F139)</f>
        <v>0.11036127809560133</v>
      </c>
      <c r="X139" s="6">
        <f>SUM(F139*$X$1)+F139</f>
        <v>7780643.5035000006</v>
      </c>
      <c r="Y139" s="5">
        <f>MIN(L139,Q139)</f>
        <v>7780643.5035000006</v>
      </c>
      <c r="Z139" s="54">
        <f>SUM(Y139-F139)</f>
        <v>370506.83349999972</v>
      </c>
      <c r="AA139" s="5">
        <f>SUM(Y139-L139)</f>
        <v>-447285.32026428357</v>
      </c>
      <c r="AB139" s="55">
        <f>SUM(F139*'Front page'!$H$11)+F139</f>
        <v>7632440.7701000012</v>
      </c>
      <c r="AC139" s="55">
        <f>MAX(AB139,L139)</f>
        <v>8227928.8237642841</v>
      </c>
      <c r="AD139" s="55">
        <f>MAX(Q139,AB139)</f>
        <v>7780643.5035000006</v>
      </c>
      <c r="AE139" s="55">
        <f>SUM(AC139-F139)</f>
        <v>817792.15376428328</v>
      </c>
      <c r="AF139" s="53">
        <f>SUM(AE139/F139)</f>
        <v>0.11036127809560133</v>
      </c>
      <c r="AG139" s="313">
        <f>SUM(AD139-F139)</f>
        <v>370506.83349999972</v>
      </c>
      <c r="AH139" s="53">
        <f>SUM(AG139/F139)</f>
        <v>4.9999999999999954E-2</v>
      </c>
    </row>
    <row r="140" spans="1:34">
      <c r="A140" t="str">
        <f>RIGHT(C140,3)</f>
        <v>231</v>
      </c>
      <c r="B140">
        <f>A140*1</f>
        <v>231</v>
      </c>
      <c r="C140" s="14" t="s">
        <v>61</v>
      </c>
      <c r="D140" s="299">
        <v>6864821.2599999998</v>
      </c>
      <c r="E140" s="299">
        <v>735236.98</v>
      </c>
      <c r="F140" s="299">
        <f>D140+E140</f>
        <v>7600058.2400000002</v>
      </c>
      <c r="G140" s="300">
        <v>1296.5</v>
      </c>
      <c r="H140" s="301">
        <f>SUM(F140/G140)</f>
        <v>5861.9809024296183</v>
      </c>
      <c r="I140" s="302">
        <f>F140/$F$177</f>
        <v>4.3486557717785099E-3</v>
      </c>
      <c r="J140" s="303">
        <f>Calculations!AS53</f>
        <v>7711121.083522195</v>
      </c>
      <c r="K140" s="5">
        <f>E140*1.091947</f>
        <v>802839.81460006</v>
      </c>
      <c r="L140" s="5">
        <f>J140+K140</f>
        <v>8513960.8981222548</v>
      </c>
      <c r="M140" s="119">
        <v>1296.5</v>
      </c>
      <c r="N140" s="55">
        <f>SUM(L140/M140)</f>
        <v>6566.8807544329002</v>
      </c>
      <c r="O140" s="33">
        <f>L140/$L$177</f>
        <v>4.4353862144290851E-3</v>
      </c>
      <c r="P140" s="180">
        <f>SUM(H140*'Front page'!$H$10)+H140</f>
        <v>6155.0799475510994</v>
      </c>
      <c r="Q140" s="180">
        <f>MIN(N140,P140)*M140</f>
        <v>7980061.1520000007</v>
      </c>
      <c r="R140" s="187"/>
      <c r="S140" s="5">
        <f>L140-F140</f>
        <v>913902.65812225454</v>
      </c>
      <c r="T140" s="5" t="str">
        <f>IF(S140&lt;0,S140,"")</f>
        <v/>
      </c>
      <c r="U140" s="5">
        <f>SUM(Q140-F140)</f>
        <v>380002.91200000048</v>
      </c>
      <c r="V140" s="5">
        <f>SUM(Q140-L140)</f>
        <v>-533899.74612225406</v>
      </c>
      <c r="W140" s="52">
        <f>SUM(S140/F140)</f>
        <v>0.12024942826257269</v>
      </c>
      <c r="X140" s="6">
        <f>SUM(F140*$X$1)+F140</f>
        <v>7980061.1520000007</v>
      </c>
      <c r="Y140" s="5">
        <f>MIN(L140,Q140)</f>
        <v>7980061.1520000007</v>
      </c>
      <c r="Z140" s="54">
        <f>SUM(Y140-F140)</f>
        <v>380002.91200000048</v>
      </c>
      <c r="AA140" s="5">
        <f>SUM(Y140-L140)</f>
        <v>-533899.74612225406</v>
      </c>
      <c r="AB140" s="55">
        <f>SUM(F140*'Front page'!$H$11)+F140</f>
        <v>7828059.9872000003</v>
      </c>
      <c r="AC140" s="55">
        <f>MAX(AB140,L140)</f>
        <v>8513960.8981222548</v>
      </c>
      <c r="AD140" s="55">
        <f>MAX(Q140,AB140)</f>
        <v>7980061.1520000007</v>
      </c>
      <c r="AE140" s="55">
        <f>SUM(AC140-F140)</f>
        <v>913902.65812225454</v>
      </c>
      <c r="AF140" s="53">
        <f>SUM(AE140/F140)</f>
        <v>0.12024942826257269</v>
      </c>
      <c r="AG140" s="313">
        <f>SUM(AD140-F140)</f>
        <v>380002.91200000048</v>
      </c>
      <c r="AH140" s="53">
        <f>SUM(AG140/F140)</f>
        <v>5.0000000000000058E-2</v>
      </c>
    </row>
    <row r="141" spans="1:34">
      <c r="A141" t="str">
        <f>RIGHT(C141,3)</f>
        <v>351</v>
      </c>
      <c r="B141">
        <f>A141*1</f>
        <v>351</v>
      </c>
      <c r="C141" s="14" t="s">
        <v>97</v>
      </c>
      <c r="D141" s="299">
        <v>7093789.54</v>
      </c>
      <c r="E141" s="299">
        <v>572262.24999999988</v>
      </c>
      <c r="F141" s="299">
        <f>D141+E141</f>
        <v>7666051.79</v>
      </c>
      <c r="G141" s="300">
        <v>1351.5</v>
      </c>
      <c r="H141" s="301">
        <f>SUM(F141/G141)</f>
        <v>5672.2543766185718</v>
      </c>
      <c r="I141" s="302">
        <f>F141/$F$177</f>
        <v>4.3864164340057053E-3</v>
      </c>
      <c r="J141" s="303">
        <f>Calculations!AS89</f>
        <v>13254889.41779653</v>
      </c>
      <c r="K141" s="5">
        <f>E141*1.091947</f>
        <v>624880.04710074991</v>
      </c>
      <c r="L141" s="5">
        <f>J141+K141</f>
        <v>13879769.464897281</v>
      </c>
      <c r="M141" s="119">
        <v>1351.5</v>
      </c>
      <c r="N141" s="55">
        <f>SUM(L141/M141)</f>
        <v>10269.899715055331</v>
      </c>
      <c r="O141" s="33">
        <f>L141/$L$177</f>
        <v>7.2307283156112009E-3</v>
      </c>
      <c r="P141" s="180">
        <f>SUM(H141*'Front page'!$H$10)+H141</f>
        <v>5955.8670954495001</v>
      </c>
      <c r="Q141" s="180">
        <f>MIN(N141,P141)*M141</f>
        <v>8049354.3794999998</v>
      </c>
      <c r="R141" s="187"/>
      <c r="S141" s="5">
        <f>L141-F141</f>
        <v>6213717.6748972805</v>
      </c>
      <c r="T141" s="5" t="str">
        <f>IF(S141&lt;0,S141,"")</f>
        <v/>
      </c>
      <c r="U141" s="5">
        <f>SUM(Q141-F141)</f>
        <v>383302.58949999977</v>
      </c>
      <c r="V141" s="5">
        <f>SUM(Q141-L141)</f>
        <v>-5830415.0853972808</v>
      </c>
      <c r="W141" s="52">
        <f>SUM(S141/F141)</f>
        <v>0.8105499212779621</v>
      </c>
      <c r="X141" s="6">
        <f>SUM(F141*$X$1)+F141</f>
        <v>8049354.3794999998</v>
      </c>
      <c r="Y141" s="5">
        <f>MIN(L141,Q141)</f>
        <v>8049354.3794999998</v>
      </c>
      <c r="Z141" s="54">
        <f>SUM(Y141-F141)</f>
        <v>383302.58949999977</v>
      </c>
      <c r="AA141" s="5">
        <f>SUM(Y141-L141)</f>
        <v>-5830415.0853972808</v>
      </c>
      <c r="AB141" s="55">
        <f>SUM(F141*'Front page'!$H$11)+F141</f>
        <v>7896033.3437000001</v>
      </c>
      <c r="AC141" s="55">
        <f>MAX(AB141,L141)</f>
        <v>13879769.464897281</v>
      </c>
      <c r="AD141" s="55">
        <f>MAX(Q141,AB141)</f>
        <v>8049354.3794999998</v>
      </c>
      <c r="AE141" s="55">
        <f>SUM(AC141-F141)</f>
        <v>6213717.6748972805</v>
      </c>
      <c r="AF141" s="53">
        <f>SUM(AE141/F141)</f>
        <v>0.8105499212779621</v>
      </c>
      <c r="AG141" s="313">
        <f>SUM(AD141-F141)</f>
        <v>383302.58949999977</v>
      </c>
      <c r="AH141" s="53">
        <f>SUM(AG141/F141)</f>
        <v>4.9999999999999968E-2</v>
      </c>
    </row>
    <row r="142" spans="1:34">
      <c r="A142" t="str">
        <f>RIGHT(C142,3)</f>
        <v>021</v>
      </c>
      <c r="B142">
        <f>A142*1</f>
        <v>21</v>
      </c>
      <c r="C142" s="14" t="s">
        <v>16</v>
      </c>
      <c r="D142" s="299">
        <v>7055941.7200000007</v>
      </c>
      <c r="E142" s="299">
        <v>666247.5</v>
      </c>
      <c r="F142" s="299">
        <f>D142+E142</f>
        <v>7722189.2200000007</v>
      </c>
      <c r="G142" s="300">
        <v>1228.5</v>
      </c>
      <c r="H142" s="301">
        <f>SUM(F142/G142)</f>
        <v>6285.8683109483118</v>
      </c>
      <c r="I142" s="302">
        <f>F142/$F$177</f>
        <v>4.4185375508805028E-3</v>
      </c>
      <c r="J142" s="303">
        <f>Calculations!AS8</f>
        <v>7907314.6920297444</v>
      </c>
      <c r="K142" s="5">
        <f>E142*1.091947</f>
        <v>727506.95888249995</v>
      </c>
      <c r="L142" s="5">
        <f>J142+K142</f>
        <v>8634821.6509122439</v>
      </c>
      <c r="M142" s="119">
        <v>1228.5</v>
      </c>
      <c r="N142" s="55">
        <f>SUM(L142/M142)</f>
        <v>7028.7518525944188</v>
      </c>
      <c r="O142" s="33">
        <f>L142/$L$177</f>
        <v>4.4983491670670828E-3</v>
      </c>
      <c r="P142" s="180">
        <f>SUM(H142*'Front page'!$H$10)+H142</f>
        <v>6600.1617264957276</v>
      </c>
      <c r="Q142" s="180">
        <f>MIN(N142,P142)*M142</f>
        <v>8108298.6810000017</v>
      </c>
      <c r="R142" s="187"/>
      <c r="S142" s="5">
        <f>L142-F142</f>
        <v>912632.4309122432</v>
      </c>
      <c r="T142" s="5" t="str">
        <f>IF(S142&lt;0,S142,"")</f>
        <v/>
      </c>
      <c r="U142" s="5">
        <f>SUM(Q142-F142)</f>
        <v>386109.46100000106</v>
      </c>
      <c r="V142" s="5">
        <f>SUM(Q142-L142)</f>
        <v>-526522.96991224214</v>
      </c>
      <c r="W142" s="52">
        <f>SUM(S142/F142)</f>
        <v>0.11818312202821717</v>
      </c>
      <c r="X142" s="6">
        <f>SUM(F142*$X$1)+F142</f>
        <v>8108298.6810000008</v>
      </c>
      <c r="Y142" s="5">
        <f>MIN(L142,Q142)</f>
        <v>8108298.6810000017</v>
      </c>
      <c r="Z142" s="54">
        <f>SUM(Y142-F142)</f>
        <v>386109.46100000106</v>
      </c>
      <c r="AA142" s="5">
        <f>SUM(Y142-L142)</f>
        <v>-526522.96991224214</v>
      </c>
      <c r="AB142" s="55">
        <f>SUM(F142*'Front page'!$H$11)+F142</f>
        <v>7953854.8966000006</v>
      </c>
      <c r="AC142" s="55">
        <f>MAX(AB142,L142)</f>
        <v>8634821.6509122439</v>
      </c>
      <c r="AD142" s="55">
        <f>MAX(Q142,AB142)</f>
        <v>8108298.6810000017</v>
      </c>
      <c r="AE142" s="55">
        <f>SUM(AC142-F142)</f>
        <v>912632.4309122432</v>
      </c>
      <c r="AF142" s="53">
        <f>SUM(AE142/F142)</f>
        <v>0.11818312202821717</v>
      </c>
      <c r="AG142" s="313">
        <f>SUM(AD142-F142)</f>
        <v>386109.46100000106</v>
      </c>
      <c r="AH142" s="53">
        <f>SUM(AG142/F142)</f>
        <v>5.0000000000000135E-2</v>
      </c>
    </row>
    <row r="143" spans="1:34">
      <c r="A143" t="str">
        <f>RIGHT(C143,3)</f>
        <v>371</v>
      </c>
      <c r="B143">
        <f>A143*1</f>
        <v>371</v>
      </c>
      <c r="C143" s="14" t="s">
        <v>102</v>
      </c>
      <c r="D143" s="299">
        <v>7852329.1099999994</v>
      </c>
      <c r="E143" s="299">
        <v>743529.03</v>
      </c>
      <c r="F143" s="299">
        <f>D143+E143</f>
        <v>8595858.1399999987</v>
      </c>
      <c r="G143" s="300">
        <v>1437</v>
      </c>
      <c r="H143" s="301">
        <f>SUM(F143/G143)</f>
        <v>5981.8080306193451</v>
      </c>
      <c r="I143" s="302">
        <f>F143/$F$177</f>
        <v>4.9184396926279707E-3</v>
      </c>
      <c r="J143" s="303">
        <f>Calculations!AS94</f>
        <v>8656981.0236762781</v>
      </c>
      <c r="K143" s="5">
        <f>E143*1.091947</f>
        <v>811894.29372140998</v>
      </c>
      <c r="L143" s="5">
        <f>J143+K143</f>
        <v>9468875.3173976876</v>
      </c>
      <c r="M143" s="119">
        <v>1437</v>
      </c>
      <c r="N143" s="55">
        <f>SUM(L143/M143)</f>
        <v>6589.3356418912235</v>
      </c>
      <c r="O143" s="33">
        <f>L143/$L$177</f>
        <v>4.9328531750945873E-3</v>
      </c>
      <c r="P143" s="180">
        <f>SUM(H143*'Front page'!$H$10)+H143</f>
        <v>6280.8984321503121</v>
      </c>
      <c r="Q143" s="180">
        <f>MIN(N143,P143)*M143</f>
        <v>9025651.0469999984</v>
      </c>
      <c r="R143" s="187"/>
      <c r="S143" s="5">
        <f>L143-F143</f>
        <v>873017.17739768885</v>
      </c>
      <c r="T143" s="5" t="str">
        <f>IF(S143&lt;0,S143,"")</f>
        <v/>
      </c>
      <c r="U143" s="5">
        <f>SUM(Q143-F143)</f>
        <v>429792.90699999966</v>
      </c>
      <c r="V143" s="5">
        <f>SUM(Q143-L143)</f>
        <v>-443224.27039768919</v>
      </c>
      <c r="W143" s="52">
        <f>SUM(S143/F143)</f>
        <v>0.10156253897853286</v>
      </c>
      <c r="X143" s="6">
        <f>SUM(F143*$X$1)+F143</f>
        <v>9025651.0469999984</v>
      </c>
      <c r="Y143" s="5">
        <f>MIN(L143,Q143)</f>
        <v>9025651.0469999984</v>
      </c>
      <c r="Z143" s="54">
        <f>SUM(Y143-F143)</f>
        <v>429792.90699999966</v>
      </c>
      <c r="AA143" s="5">
        <f>SUM(Y143-L143)</f>
        <v>-443224.27039768919</v>
      </c>
      <c r="AB143" s="55">
        <f>SUM(F143*'Front page'!$H$11)+F143</f>
        <v>8853733.8841999993</v>
      </c>
      <c r="AC143" s="55">
        <f>MAX(AB143,L143)</f>
        <v>9468875.3173976876</v>
      </c>
      <c r="AD143" s="55">
        <f>MAX(Q143,AB143)</f>
        <v>9025651.0469999984</v>
      </c>
      <c r="AE143" s="55">
        <f>SUM(AC143-F143)</f>
        <v>873017.17739768885</v>
      </c>
      <c r="AF143" s="53">
        <f>SUM(AE143/F143)</f>
        <v>0.10156253897853286</v>
      </c>
      <c r="AG143" s="313">
        <f>SUM(AD143-F143)</f>
        <v>429792.90699999966</v>
      </c>
      <c r="AH143" s="53">
        <f>SUM(AG143/F143)</f>
        <v>4.9999999999999968E-2</v>
      </c>
    </row>
    <row r="144" spans="1:34">
      <c r="A144" t="str">
        <f>RIGHT(C144,3)</f>
        <v>101</v>
      </c>
      <c r="B144">
        <f>A144*1</f>
        <v>101</v>
      </c>
      <c r="C144" s="14" t="s">
        <v>35</v>
      </c>
      <c r="D144" s="299">
        <v>7777140.5699999994</v>
      </c>
      <c r="E144" s="299">
        <v>839863.17</v>
      </c>
      <c r="F144" s="299">
        <f>D144+E144</f>
        <v>8617003.7400000002</v>
      </c>
      <c r="G144" s="300">
        <v>1407.5</v>
      </c>
      <c r="H144" s="301">
        <f>SUM(F144/G144)</f>
        <v>6122.2051438721137</v>
      </c>
      <c r="I144" s="302">
        <f>F144/$F$177</f>
        <v>4.9305389335263837E-3</v>
      </c>
      <c r="J144" s="303">
        <f>Calculations!AS27</f>
        <v>8241564.3710922208</v>
      </c>
      <c r="K144" s="5">
        <f>E144*1.091947</f>
        <v>917086.06889199</v>
      </c>
      <c r="L144" s="5">
        <f>J144+K144</f>
        <v>9158650.4399842098</v>
      </c>
      <c r="M144" s="119">
        <v>1407.5</v>
      </c>
      <c r="N144" s="55">
        <f>SUM(L144/M144)</f>
        <v>6507.0340603795448</v>
      </c>
      <c r="O144" s="33">
        <f>L144/$L$177</f>
        <v>4.7712401302242311E-3</v>
      </c>
      <c r="P144" s="180">
        <f>SUM(H144*'Front page'!$H$10)+H144</f>
        <v>6428.315401065719</v>
      </c>
      <c r="Q144" s="180">
        <f>MIN(N144,P144)*M144</f>
        <v>9047853.9269999992</v>
      </c>
      <c r="R144" s="187"/>
      <c r="S144" s="5">
        <f>L144-F144</f>
        <v>541646.69998420961</v>
      </c>
      <c r="T144" s="5" t="str">
        <f>IF(S144&lt;0,S144,"")</f>
        <v/>
      </c>
      <c r="U144" s="5">
        <f>SUM(Q144-F144)</f>
        <v>430850.18699999899</v>
      </c>
      <c r="V144" s="5">
        <f>SUM(Q144-L144)</f>
        <v>-110796.51298421063</v>
      </c>
      <c r="W144" s="52">
        <f>SUM(S144/F144)</f>
        <v>6.2857893106149407E-2</v>
      </c>
      <c r="X144" s="6">
        <f>SUM(F144*$X$1)+F144</f>
        <v>9047853.9270000011</v>
      </c>
      <c r="Y144" s="5">
        <f>MIN(L144,Q144)</f>
        <v>9047853.9269999992</v>
      </c>
      <c r="Z144" s="54">
        <f>SUM(Y144-F144)</f>
        <v>430850.18699999899</v>
      </c>
      <c r="AA144" s="5">
        <f>SUM(Y144-L144)</f>
        <v>-110796.51298421063</v>
      </c>
      <c r="AB144" s="55">
        <f>SUM(F144*'Front page'!$H$11)+F144</f>
        <v>8875513.8521999996</v>
      </c>
      <c r="AC144" s="55">
        <f>MAX(AB144,L144)</f>
        <v>9158650.4399842098</v>
      </c>
      <c r="AD144" s="55">
        <f>MAX(Q144,AB144)</f>
        <v>9047853.9269999992</v>
      </c>
      <c r="AE144" s="55">
        <f>SUM(AC144-F144)</f>
        <v>541646.69998420961</v>
      </c>
      <c r="AF144" s="53">
        <f>SUM(AE144/F144)</f>
        <v>6.2857893106149407E-2</v>
      </c>
      <c r="AG144" s="313">
        <f>SUM(AD144-F144)</f>
        <v>430850.18699999899</v>
      </c>
      <c r="AH144" s="53">
        <f>SUM(AG144/F144)</f>
        <v>4.9999999999999878E-2</v>
      </c>
    </row>
    <row r="145" spans="1:34">
      <c r="A145" t="str">
        <f>RIGHT(C145,3)</f>
        <v>381</v>
      </c>
      <c r="B145">
        <f>A145*1</f>
        <v>381</v>
      </c>
      <c r="C145" s="14" t="s">
        <v>105</v>
      </c>
      <c r="D145" s="299">
        <v>7780293.8399999999</v>
      </c>
      <c r="E145" s="299">
        <v>849481.30999999994</v>
      </c>
      <c r="F145" s="299">
        <f>D145+E145</f>
        <v>8629775.1500000004</v>
      </c>
      <c r="G145" s="300">
        <v>1388.5</v>
      </c>
      <c r="H145" s="301">
        <f>SUM(F145/G145)</f>
        <v>6215.1783579402236</v>
      </c>
      <c r="I145" s="302">
        <f>F145/$F$177</f>
        <v>4.9378465703965781E-3</v>
      </c>
      <c r="J145" s="303">
        <f>Calculations!AS97</f>
        <v>8444721.7082321364</v>
      </c>
      <c r="K145" s="5">
        <f>E145*1.091947</f>
        <v>927588.5680105699</v>
      </c>
      <c r="L145" s="5">
        <f>J145+K145</f>
        <v>9372310.2762427069</v>
      </c>
      <c r="M145" s="119">
        <v>1388.5</v>
      </c>
      <c r="N145" s="55">
        <f>SUM(L145/M145)</f>
        <v>6749.9533858427849</v>
      </c>
      <c r="O145" s="33">
        <f>L145/$L$177</f>
        <v>4.8825471826828724E-3</v>
      </c>
      <c r="P145" s="180">
        <f>SUM(H145*'Front page'!$H$10)+H145</f>
        <v>6525.9372758372347</v>
      </c>
      <c r="Q145" s="180">
        <f>MIN(N145,P145)*M145</f>
        <v>9061263.9075000007</v>
      </c>
      <c r="R145" s="187"/>
      <c r="S145" s="5">
        <f>L145-F145</f>
        <v>742535.12624270655</v>
      </c>
      <c r="T145" s="5" t="str">
        <f>IF(S145&lt;0,S145,"")</f>
        <v/>
      </c>
      <c r="U145" s="5">
        <f>SUM(Q145-F145)</f>
        <v>431488.7575000003</v>
      </c>
      <c r="V145" s="5">
        <f>SUM(Q145-L145)</f>
        <v>-311046.36874270625</v>
      </c>
      <c r="W145" s="52">
        <f>SUM(S145/F145)</f>
        <v>8.6043392016153117E-2</v>
      </c>
      <c r="X145" s="6">
        <f>SUM(F145*$X$1)+F145</f>
        <v>9061263.9075000007</v>
      </c>
      <c r="Y145" s="5">
        <f>MIN(L145,Q145)</f>
        <v>9061263.9075000007</v>
      </c>
      <c r="Z145" s="54">
        <f>SUM(Y145-F145)</f>
        <v>431488.7575000003</v>
      </c>
      <c r="AA145" s="5">
        <f>SUM(Y145-L145)</f>
        <v>-311046.36874270625</v>
      </c>
      <c r="AB145" s="55">
        <f>SUM(F145*'Front page'!$H$11)+F145</f>
        <v>8888668.4045000002</v>
      </c>
      <c r="AC145" s="55">
        <f>MAX(AB145,L145)</f>
        <v>9372310.2762427069</v>
      </c>
      <c r="AD145" s="55">
        <f>MAX(Q145,AB145)</f>
        <v>9061263.9075000007</v>
      </c>
      <c r="AE145" s="55">
        <f>SUM(AC145-F145)</f>
        <v>742535.12624270655</v>
      </c>
      <c r="AF145" s="53">
        <f>SUM(AE145/F145)</f>
        <v>8.6043392016153117E-2</v>
      </c>
      <c r="AG145" s="313">
        <f>SUM(AD145-F145)</f>
        <v>431488.7575000003</v>
      </c>
      <c r="AH145" s="53">
        <f>SUM(AG145/F145)</f>
        <v>5.0000000000000031E-2</v>
      </c>
    </row>
    <row r="146" spans="1:34">
      <c r="A146" t="str">
        <f>RIGHT(C146,3)</f>
        <v>413</v>
      </c>
      <c r="B146">
        <f>A146*1</f>
        <v>413</v>
      </c>
      <c r="C146" s="14" t="s">
        <v>115</v>
      </c>
      <c r="D146" s="299">
        <v>8632145.4200000018</v>
      </c>
      <c r="E146" s="299">
        <v>1080699.9899999998</v>
      </c>
      <c r="F146" s="299">
        <f>D146+E146</f>
        <v>9712845.410000002</v>
      </c>
      <c r="G146" s="300">
        <v>1590</v>
      </c>
      <c r="H146" s="301">
        <f>SUM(F146/G146)</f>
        <v>6108.7078050314476</v>
      </c>
      <c r="I146" s="302">
        <f>F146/$F$177</f>
        <v>5.5575654710494577E-3</v>
      </c>
      <c r="J146" s="303">
        <f>Calculations!AS107</f>
        <v>9081224.5393675789</v>
      </c>
      <c r="K146" s="5">
        <f>E146*1.091947</f>
        <v>1180067.1119805297</v>
      </c>
      <c r="L146" s="5">
        <f>J146+K146</f>
        <v>10261291.651348108</v>
      </c>
      <c r="M146" s="119">
        <v>1590</v>
      </c>
      <c r="N146" s="55">
        <f>SUM(L146/M146)</f>
        <v>6453.6425480176786</v>
      </c>
      <c r="O146" s="33">
        <f>L146/$L$177</f>
        <v>5.3456660275082377E-3</v>
      </c>
      <c r="P146" s="180">
        <f>SUM(H146*'Front page'!$H$10)+H146</f>
        <v>6414.1431952830198</v>
      </c>
      <c r="Q146" s="180">
        <f>MIN(N146,P146)*M146</f>
        <v>10198487.680500001</v>
      </c>
      <c r="R146" s="187"/>
      <c r="S146" s="5">
        <f>L146-F146</f>
        <v>548446.24134810641</v>
      </c>
      <c r="T146" s="5" t="str">
        <f>IF(S146&lt;0,S146,"")</f>
        <v/>
      </c>
      <c r="U146" s="5">
        <f>SUM(Q146-F146)</f>
        <v>485642.2704999987</v>
      </c>
      <c r="V146" s="5">
        <f>SUM(Q146-L146)</f>
        <v>-62803.97084810771</v>
      </c>
      <c r="W146" s="52">
        <f>SUM(S146/F146)</f>
        <v>5.6466073348953497E-2</v>
      </c>
      <c r="X146" s="6">
        <f>SUM(F146*$X$1)+F146</f>
        <v>10198487.680500003</v>
      </c>
      <c r="Y146" s="5">
        <f>MIN(L146,Q146)</f>
        <v>10198487.680500001</v>
      </c>
      <c r="Z146" s="54">
        <f>SUM(Y146-F146)</f>
        <v>485642.2704999987</v>
      </c>
      <c r="AA146" s="5">
        <f>SUM(Y146-L146)</f>
        <v>-62803.97084810771</v>
      </c>
      <c r="AB146" s="55">
        <f>SUM(F146*'Front page'!$H$11)+F146</f>
        <v>10004230.772300001</v>
      </c>
      <c r="AC146" s="55">
        <f>MAX(AB146,L146)</f>
        <v>10261291.651348108</v>
      </c>
      <c r="AD146" s="55">
        <f>MAX(Q146,AB146)</f>
        <v>10198487.680500001</v>
      </c>
      <c r="AE146" s="55">
        <f>SUM(AC146-F146)</f>
        <v>548446.24134810641</v>
      </c>
      <c r="AF146" s="53">
        <f>SUM(AE146/F146)</f>
        <v>5.6466073348953497E-2</v>
      </c>
      <c r="AG146" s="313">
        <f>SUM(AD146-F146)</f>
        <v>485642.2704999987</v>
      </c>
      <c r="AH146" s="53">
        <f>SUM(AG146/F146)</f>
        <v>4.9999999999999857E-2</v>
      </c>
    </row>
    <row r="147" spans="1:34">
      <c r="A147" t="str">
        <f>RIGHT(C147,3)</f>
        <v>401</v>
      </c>
      <c r="B147">
        <f>A147*1</f>
        <v>401</v>
      </c>
      <c r="C147" s="14" t="s">
        <v>112</v>
      </c>
      <c r="D147" s="299">
        <v>9209281.629999999</v>
      </c>
      <c r="E147" s="299">
        <v>1001859.3300000001</v>
      </c>
      <c r="F147" s="299">
        <f>D147+E147</f>
        <v>10211140.959999999</v>
      </c>
      <c r="G147" s="300">
        <v>1718.5</v>
      </c>
      <c r="H147" s="301">
        <f>SUM(F147/G147)</f>
        <v>5941.8917427989518</v>
      </c>
      <c r="I147" s="302">
        <f>F147/$F$177</f>
        <v>5.8426837887163279E-3</v>
      </c>
      <c r="J147" s="303">
        <f>Calculations!AS104</f>
        <v>9852447.9570235927</v>
      </c>
      <c r="K147" s="5">
        <f>E147*1.091947</f>
        <v>1093977.2898155102</v>
      </c>
      <c r="L147" s="5">
        <f>J147+K147</f>
        <v>10946425.246839102</v>
      </c>
      <c r="M147" s="119">
        <v>1718.5</v>
      </c>
      <c r="N147" s="55">
        <f>SUM(L147/M147)</f>
        <v>6369.7557444510339</v>
      </c>
      <c r="O147" s="33">
        <f>L147/$L$177</f>
        <v>5.702589454905373E-3</v>
      </c>
      <c r="P147" s="180">
        <f>SUM(H147*'Front page'!$H$10)+H147</f>
        <v>6238.986329938899</v>
      </c>
      <c r="Q147" s="180">
        <f>MIN(N147,P147)*M147</f>
        <v>10721698.007999998</v>
      </c>
      <c r="R147" s="187"/>
      <c r="S147" s="5">
        <f>L147-F147</f>
        <v>735284.28683910333</v>
      </c>
      <c r="T147" s="5" t="str">
        <f>IF(S147&lt;0,S147,"")</f>
        <v/>
      </c>
      <c r="U147" s="5">
        <f>SUM(Q147-F147)</f>
        <v>510557.04799999855</v>
      </c>
      <c r="V147" s="5">
        <f>SUM(Q147-L147)</f>
        <v>-224727.23883910477</v>
      </c>
      <c r="W147" s="52">
        <f>SUM(S147/F147)</f>
        <v>7.2008043931567012E-2</v>
      </c>
      <c r="X147" s="6">
        <f>SUM(F147*$X$1)+F147</f>
        <v>10721698.007999999</v>
      </c>
      <c r="Y147" s="5">
        <f>MIN(L147,Q147)</f>
        <v>10721698.007999998</v>
      </c>
      <c r="Z147" s="54">
        <f>SUM(Y147-F147)</f>
        <v>510557.04799999855</v>
      </c>
      <c r="AA147" s="5">
        <f>SUM(Y147-L147)</f>
        <v>-224727.23883910477</v>
      </c>
      <c r="AB147" s="55">
        <f>SUM(F147*'Front page'!$H$11)+F147</f>
        <v>10517475.1888</v>
      </c>
      <c r="AC147" s="55">
        <f>MAX(AB147,L147)</f>
        <v>10946425.246839102</v>
      </c>
      <c r="AD147" s="55">
        <f>MAX(Q147,AB147)</f>
        <v>10721698.007999998</v>
      </c>
      <c r="AE147" s="55">
        <f>SUM(AC147-F147)</f>
        <v>735284.28683910333</v>
      </c>
      <c r="AF147" s="53">
        <f>SUM(AE147/F147)</f>
        <v>7.2008043931567012E-2</v>
      </c>
      <c r="AG147" s="313">
        <f>SUM(AD147-F147)</f>
        <v>510557.04799999855</v>
      </c>
      <c r="AH147" s="53">
        <f>SUM(AG147/F147)</f>
        <v>4.9999999999999864E-2</v>
      </c>
    </row>
    <row r="148" spans="1:34">
      <c r="A148" t="str">
        <f>RIGHT(C148,3)</f>
        <v>281</v>
      </c>
      <c r="B148">
        <f>A148*1</f>
        <v>281</v>
      </c>
      <c r="C148" s="14" t="s">
        <v>77</v>
      </c>
      <c r="D148" s="299">
        <v>11721234</v>
      </c>
      <c r="E148" s="299">
        <v>1253086</v>
      </c>
      <c r="F148" s="299">
        <f>D148+E148</f>
        <v>12974320</v>
      </c>
      <c r="G148" s="300">
        <v>2275</v>
      </c>
      <c r="H148" s="301">
        <f>SUM(F148/G148)</f>
        <v>5702.9978021978022</v>
      </c>
      <c r="I148" s="302">
        <f>F148/$F$177</f>
        <v>7.4237393676737599E-3</v>
      </c>
      <c r="J148" s="303">
        <f>Calculations!AS69</f>
        <v>12225145.397644017</v>
      </c>
      <c r="K148" s="5">
        <f>E148*1.091947</f>
        <v>1368303.498442</v>
      </c>
      <c r="L148" s="5">
        <f>J148+K148</f>
        <v>13593448.896086017</v>
      </c>
      <c r="M148" s="119">
        <v>2275</v>
      </c>
      <c r="N148" s="55">
        <f>SUM(L148/M148)</f>
        <v>5975.1423719059412</v>
      </c>
      <c r="O148" s="33">
        <f>L148/$L$177</f>
        <v>7.081568327797179E-3</v>
      </c>
      <c r="P148" s="180">
        <f>SUM(H148*'Front page'!$H$10)+H148</f>
        <v>5988.1476923076925</v>
      </c>
      <c r="Q148" s="180">
        <f>MIN(N148,P148)*M148</f>
        <v>13593448.896086017</v>
      </c>
      <c r="R148" s="187"/>
      <c r="S148" s="5">
        <f>L148-F148</f>
        <v>619128.89608601667</v>
      </c>
      <c r="T148" s="5" t="str">
        <f>IF(S148&lt;0,S148,"")</f>
        <v/>
      </c>
      <c r="U148" s="5">
        <f>SUM(Q148-F148)</f>
        <v>619128.89608601667</v>
      </c>
      <c r="V148" s="5">
        <f>SUM(Q148-L148)</f>
        <v>0</v>
      </c>
      <c r="W148" s="52">
        <f>SUM(S148/F148)</f>
        <v>4.7719564191881864E-2</v>
      </c>
      <c r="X148" s="6">
        <f>SUM(F148*$X$1)+F148</f>
        <v>13623036</v>
      </c>
      <c r="Y148" s="5">
        <f>MIN(L148,Q148)</f>
        <v>13593448.896086017</v>
      </c>
      <c r="Z148" s="54">
        <f>SUM(Y148-F148)</f>
        <v>619128.89608601667</v>
      </c>
      <c r="AA148" s="5">
        <f>SUM(Y148-L148)</f>
        <v>0</v>
      </c>
      <c r="AB148" s="55">
        <f>SUM(F148*'Front page'!$H$11)+F148</f>
        <v>13363549.6</v>
      </c>
      <c r="AC148" s="55">
        <f>MAX(AB148,L148)</f>
        <v>13593448.896086017</v>
      </c>
      <c r="AD148" s="55">
        <f>MAX(Q148,AB148)</f>
        <v>13593448.896086017</v>
      </c>
      <c r="AE148" s="55">
        <f>SUM(AC148-F148)</f>
        <v>619128.89608601667</v>
      </c>
      <c r="AF148" s="53">
        <f>SUM(AE148/F148)</f>
        <v>4.7719564191881864E-2</v>
      </c>
      <c r="AG148" s="313">
        <f>SUM(AD148-F148)</f>
        <v>619128.89608601667</v>
      </c>
      <c r="AH148" s="53">
        <f>SUM(AG148/F148)</f>
        <v>4.7719564191881864E-2</v>
      </c>
    </row>
    <row r="149" spans="1:34">
      <c r="A149" t="str">
        <f>RIGHT(C149,3)</f>
        <v>060</v>
      </c>
      <c r="B149">
        <f>A149*1</f>
        <v>60</v>
      </c>
      <c r="C149" s="14" t="s">
        <v>25</v>
      </c>
      <c r="D149" s="299">
        <v>11202148.25</v>
      </c>
      <c r="E149" s="299">
        <v>1195484.1400000001</v>
      </c>
      <c r="F149" s="299">
        <f>D149+E149</f>
        <v>12397632.390000001</v>
      </c>
      <c r="G149" s="300">
        <v>2231.5</v>
      </c>
      <c r="H149" s="301">
        <f>SUM(F149/G149)</f>
        <v>5555.7393636567331</v>
      </c>
      <c r="I149" s="302">
        <f>F149/$F$177</f>
        <v>7.093766119503013E-3</v>
      </c>
      <c r="J149" s="303">
        <f>Calculations!AS17</f>
        <v>12338029.603196103</v>
      </c>
      <c r="K149" s="5">
        <f>E149*1.091947</f>
        <v>1305405.3202205801</v>
      </c>
      <c r="L149" s="5">
        <f>J149+K149</f>
        <v>13643434.923416683</v>
      </c>
      <c r="M149" s="119">
        <v>2231.5</v>
      </c>
      <c r="N149" s="55">
        <f>SUM(L149/M149)</f>
        <v>6114.0196833594819</v>
      </c>
      <c r="O149" s="33">
        <f>L149/$L$177</f>
        <v>7.1076087735062275E-3</v>
      </c>
      <c r="P149" s="180">
        <f>SUM(H149*'Front page'!$H$10)+H149</f>
        <v>5833.52633183957</v>
      </c>
      <c r="Q149" s="180">
        <f>MIN(N149,P149)*M149</f>
        <v>13017514.009500001</v>
      </c>
      <c r="R149" s="187"/>
      <c r="S149" s="5">
        <f>L149-F149</f>
        <v>1245802.5334166829</v>
      </c>
      <c r="T149" s="5" t="str">
        <f>IF(S149&lt;0,S149,"")</f>
        <v/>
      </c>
      <c r="U149" s="5">
        <f>SUM(Q149-F149)</f>
        <v>619881.61950000003</v>
      </c>
      <c r="V149" s="5">
        <f>SUM(Q149-L149)</f>
        <v>-625920.91391668282</v>
      </c>
      <c r="W149" s="52">
        <f>SUM(S149/F149)</f>
        <v>0.10048713288365883</v>
      </c>
      <c r="X149" s="6">
        <f>SUM(F149*$X$1)+F149</f>
        <v>13017514.009500001</v>
      </c>
      <c r="Y149" s="5">
        <f>MIN(L149,Q149)</f>
        <v>13017514.009500001</v>
      </c>
      <c r="Z149" s="54">
        <f>SUM(Y149-F149)</f>
        <v>619881.61950000003</v>
      </c>
      <c r="AA149" s="5">
        <f>SUM(Y149-L149)</f>
        <v>-625920.91391668282</v>
      </c>
      <c r="AB149" s="55">
        <f>SUM(F149*'Front page'!$H$11)+F149</f>
        <v>12769561.3617</v>
      </c>
      <c r="AC149" s="55">
        <f>MAX(AB149,L149)</f>
        <v>13643434.923416683</v>
      </c>
      <c r="AD149" s="55">
        <f>MAX(Q149,AB149)</f>
        <v>13017514.009500001</v>
      </c>
      <c r="AE149" s="55">
        <f>SUM(AC149-F149)</f>
        <v>1245802.5334166829</v>
      </c>
      <c r="AF149" s="53">
        <f>SUM(AE149/F149)</f>
        <v>0.10048713288365883</v>
      </c>
      <c r="AG149" s="313">
        <f>SUM(AD149-F149)</f>
        <v>619881.61950000003</v>
      </c>
      <c r="AH149" s="53">
        <f>SUM(AG149/F149)</f>
        <v>0.05</v>
      </c>
    </row>
    <row r="150" spans="1:34">
      <c r="A150" t="str">
        <f>RIGHT(C150,3)</f>
        <v>201</v>
      </c>
      <c r="B150">
        <f>A150*1</f>
        <v>201</v>
      </c>
      <c r="C150" s="14" t="s">
        <v>57</v>
      </c>
      <c r="D150" s="299">
        <v>11738851.609999999</v>
      </c>
      <c r="E150" s="299">
        <v>978668.56</v>
      </c>
      <c r="F150" s="299">
        <f>D150+E150</f>
        <v>12717520.17</v>
      </c>
      <c r="G150" s="300">
        <v>2272</v>
      </c>
      <c r="H150" s="301">
        <f>SUM(F150/G150)</f>
        <v>5597.5000748239436</v>
      </c>
      <c r="I150" s="302">
        <f>F150/$F$177</f>
        <v>7.276801801189896E-3</v>
      </c>
      <c r="J150" s="303">
        <f>Calculations!AS49</f>
        <v>12366628.428400775</v>
      </c>
      <c r="K150" s="5">
        <f>E150*1.091947</f>
        <v>1068654.19808632</v>
      </c>
      <c r="L150" s="5">
        <f>J150+K150</f>
        <v>13435282.626487095</v>
      </c>
      <c r="M150" s="119">
        <v>2272</v>
      </c>
      <c r="N150" s="55">
        <f>SUM(L150/M150)</f>
        <v>5913.4166489819963</v>
      </c>
      <c r="O150" s="33">
        <f>L150/$L$177</f>
        <v>6.9991708984266194E-3</v>
      </c>
      <c r="P150" s="180">
        <f>SUM(H150*'Front page'!$H$10)+H150</f>
        <v>5877.3750785651409</v>
      </c>
      <c r="Q150" s="180">
        <f>MIN(N150,P150)*M150</f>
        <v>13353396.1785</v>
      </c>
      <c r="R150" s="187"/>
      <c r="S150" s="5">
        <f>L150-F150</f>
        <v>717762.45648709498</v>
      </c>
      <c r="T150" s="5" t="str">
        <f>IF(S150&lt;0,S150,"")</f>
        <v/>
      </c>
      <c r="U150" s="5">
        <f>SUM(Q150-F150)</f>
        <v>635876.00850000046</v>
      </c>
      <c r="V150" s="5">
        <f>SUM(Q150-L150)</f>
        <v>-81886.447987094522</v>
      </c>
      <c r="W150" s="52">
        <f>SUM(S150/F150)</f>
        <v>5.6438869126408865E-2</v>
      </c>
      <c r="X150" s="6">
        <f>SUM(F150*$X$1)+F150</f>
        <v>13353396.1785</v>
      </c>
      <c r="Y150" s="5">
        <f>MIN(L150,Q150)</f>
        <v>13353396.1785</v>
      </c>
      <c r="Z150" s="54">
        <f>SUM(Y150-F150)</f>
        <v>635876.00850000046</v>
      </c>
      <c r="AA150" s="5">
        <f>SUM(Y150-L150)</f>
        <v>-81886.447987094522</v>
      </c>
      <c r="AB150" s="55">
        <f>SUM(F150*'Front page'!$H$11)+F150</f>
        <v>13099045.7751</v>
      </c>
      <c r="AC150" s="55">
        <f>MAX(AB150,L150)</f>
        <v>13435282.626487095</v>
      </c>
      <c r="AD150" s="55">
        <f>MAX(Q150,AB150)</f>
        <v>13353396.1785</v>
      </c>
      <c r="AE150" s="55">
        <f>SUM(AC150-F150)</f>
        <v>717762.45648709498</v>
      </c>
      <c r="AF150" s="53">
        <f>SUM(AE150/F150)</f>
        <v>5.6438869126408865E-2</v>
      </c>
      <c r="AG150" s="313">
        <f>SUM(AD150-F150)</f>
        <v>635876.00850000046</v>
      </c>
      <c r="AH150" s="53">
        <f>SUM(AG150/F150)</f>
        <v>5.0000000000000037E-2</v>
      </c>
    </row>
    <row r="151" spans="1:34">
      <c r="A151" t="str">
        <f>RIGHT(C151,3)</f>
        <v>221</v>
      </c>
      <c r="B151">
        <f>A151*1</f>
        <v>221</v>
      </c>
      <c r="C151" s="14" t="s">
        <v>60</v>
      </c>
      <c r="D151" s="299">
        <v>12306266.52</v>
      </c>
      <c r="E151" s="299">
        <v>1942884.1400000001</v>
      </c>
      <c r="F151" s="299">
        <f>D151+E151</f>
        <v>14249150.66</v>
      </c>
      <c r="G151" s="300">
        <v>2240</v>
      </c>
      <c r="H151" s="301">
        <f>SUM(F151/G151)</f>
        <v>6361.2279732142861</v>
      </c>
      <c r="I151" s="302">
        <f>F151/$F$177</f>
        <v>8.1531811078003735E-3</v>
      </c>
      <c r="J151" s="303">
        <f>Calculations!AS52</f>
        <v>13340309.242346017</v>
      </c>
      <c r="K151" s="5">
        <f>E151*1.091947</f>
        <v>2121526.5080205803</v>
      </c>
      <c r="L151" s="5">
        <f>J151+K151</f>
        <v>15461835.750366597</v>
      </c>
      <c r="M151" s="119">
        <v>2240</v>
      </c>
      <c r="N151" s="55">
        <f>SUM(L151/M151)</f>
        <v>6902.6052456993739</v>
      </c>
      <c r="O151" s="33">
        <f>L151/$L$177</f>
        <v>8.0549128610712638E-3</v>
      </c>
      <c r="P151" s="180">
        <f>SUM(H151*'Front page'!$H$10)+H151</f>
        <v>6679.2893718750001</v>
      </c>
      <c r="Q151" s="180">
        <f>MIN(N151,P151)*M151</f>
        <v>14961608.193</v>
      </c>
      <c r="R151" s="187"/>
      <c r="S151" s="5">
        <f>L151-F151</f>
        <v>1212685.0903665964</v>
      </c>
      <c r="T151" s="5" t="str">
        <f>IF(S151&lt;0,S151,"")</f>
        <v/>
      </c>
      <c r="U151" s="5">
        <f>SUM(Q151-F151)</f>
        <v>712457.53299999982</v>
      </c>
      <c r="V151" s="5">
        <f>SUM(Q151-L151)</f>
        <v>-500227.55736659653</v>
      </c>
      <c r="W151" s="52">
        <f>SUM(S151/F151)</f>
        <v>8.5105780639321019E-2</v>
      </c>
      <c r="X151" s="6">
        <f>SUM(F151*$X$1)+F151</f>
        <v>14961608.193</v>
      </c>
      <c r="Y151" s="5">
        <f>MIN(L151,Q151)</f>
        <v>14961608.193</v>
      </c>
      <c r="Z151" s="54">
        <f>SUM(Y151-F151)</f>
        <v>712457.53299999982</v>
      </c>
      <c r="AA151" s="5">
        <f>SUM(Y151-L151)</f>
        <v>-500227.55736659653</v>
      </c>
      <c r="AB151" s="55">
        <f>SUM(F151*'Front page'!$H$11)+F151</f>
        <v>14676625.1798</v>
      </c>
      <c r="AC151" s="55">
        <f>MAX(AB151,L151)</f>
        <v>15461835.750366597</v>
      </c>
      <c r="AD151" s="55">
        <f>MAX(Q151,AB151)</f>
        <v>14961608.193</v>
      </c>
      <c r="AE151" s="55">
        <f>SUM(AC151-F151)</f>
        <v>1212685.0903665964</v>
      </c>
      <c r="AF151" s="53">
        <f>SUM(AE151/F151)</f>
        <v>8.5105780639321019E-2</v>
      </c>
      <c r="AG151" s="313">
        <f>SUM(AD151-F151)</f>
        <v>712457.53299999982</v>
      </c>
      <c r="AH151" s="53">
        <f>SUM(AG151/F151)</f>
        <v>4.9999999999999989E-2</v>
      </c>
    </row>
    <row r="152" spans="1:34">
      <c r="A152" t="str">
        <f>RIGHT(C152,3)</f>
        <v>061</v>
      </c>
      <c r="B152">
        <f>A152*1</f>
        <v>61</v>
      </c>
      <c r="C152" s="14" t="s">
        <v>26</v>
      </c>
      <c r="D152" s="299">
        <v>17385903</v>
      </c>
      <c r="E152" s="299">
        <v>2131568</v>
      </c>
      <c r="F152" s="299">
        <f>D152+E152</f>
        <v>19517471</v>
      </c>
      <c r="G152" s="300">
        <v>3249</v>
      </c>
      <c r="H152" s="301">
        <f>SUM(F152/G152)</f>
        <v>6007.2240689442906</v>
      </c>
      <c r="I152" s="302">
        <f>F152/$F$177</f>
        <v>1.116764638301899E-2</v>
      </c>
      <c r="J152" s="303">
        <f>Calculations!AS18</f>
        <v>18180727.868969422</v>
      </c>
      <c r="K152" s="5">
        <f>E152*1.091947</f>
        <v>2327559.282896</v>
      </c>
      <c r="L152" s="5">
        <f>J152+K152</f>
        <v>20508287.151865423</v>
      </c>
      <c r="M152" s="119">
        <v>3249</v>
      </c>
      <c r="N152" s="55">
        <f>SUM(L152/M152)</f>
        <v>6312.1844111620258</v>
      </c>
      <c r="O152" s="33">
        <f>L152/$L$177</f>
        <v>1.0683884410955967E-2</v>
      </c>
      <c r="P152" s="180">
        <f>SUM(H152*'Front page'!$H$10)+H152</f>
        <v>6307.585272391505</v>
      </c>
      <c r="Q152" s="180">
        <f>MIN(N152,P152)*M152</f>
        <v>20493344.550000001</v>
      </c>
      <c r="R152" s="187"/>
      <c r="S152" s="5">
        <f>L152-F152</f>
        <v>990816.15186542273</v>
      </c>
      <c r="T152" s="5" t="str">
        <f>IF(S152&lt;0,S152,"")</f>
        <v/>
      </c>
      <c r="U152" s="5">
        <f>SUM(Q152-F152)</f>
        <v>975873.55000000075</v>
      </c>
      <c r="V152" s="5">
        <f>SUM(Q152-L152)</f>
        <v>-14942.601865421981</v>
      </c>
      <c r="W152" s="52">
        <f>SUM(S152/F152)</f>
        <v>5.0765601335614779E-2</v>
      </c>
      <c r="X152" s="6">
        <f>SUM(F152*$X$1)+F152</f>
        <v>20493344.550000001</v>
      </c>
      <c r="Y152" s="5">
        <f>MIN(L152,Q152)</f>
        <v>20493344.550000001</v>
      </c>
      <c r="Z152" s="54">
        <f>SUM(Y152-F152)</f>
        <v>975873.55000000075</v>
      </c>
      <c r="AA152" s="5">
        <f>SUM(Y152-L152)</f>
        <v>-14942.601865421981</v>
      </c>
      <c r="AB152" s="55">
        <f>SUM(F152*'Front page'!$H$11)+F152</f>
        <v>20102995.129999999</v>
      </c>
      <c r="AC152" s="55">
        <f>MAX(AB152,L152)</f>
        <v>20508287.151865423</v>
      </c>
      <c r="AD152" s="55">
        <f>MAX(Q152,AB152)</f>
        <v>20493344.550000001</v>
      </c>
      <c r="AE152" s="55">
        <f>SUM(AC152-F152)</f>
        <v>990816.15186542273</v>
      </c>
      <c r="AF152" s="53">
        <f>SUM(AE152/F152)</f>
        <v>5.0765601335614779E-2</v>
      </c>
      <c r="AG152" s="313">
        <f>SUM(AD152-F152)</f>
        <v>975873.55000000075</v>
      </c>
      <c r="AH152" s="53">
        <f>SUM(AG152/F152)</f>
        <v>5.0000000000000037E-2</v>
      </c>
    </row>
    <row r="153" spans="1:34">
      <c r="A153" t="str">
        <f>RIGHT(C153,3)</f>
        <v>193</v>
      </c>
      <c r="B153">
        <f>A153*1</f>
        <v>193</v>
      </c>
      <c r="C153" s="14" t="s">
        <v>56</v>
      </c>
      <c r="D153" s="299">
        <v>19118711.740000002</v>
      </c>
      <c r="E153" s="299">
        <v>1846883.99</v>
      </c>
      <c r="F153" s="299">
        <f>D153+E153</f>
        <v>20965595.73</v>
      </c>
      <c r="G153" s="300">
        <v>3718</v>
      </c>
      <c r="H153" s="301">
        <f>SUM(F153/G153)</f>
        <v>5638.9445212479832</v>
      </c>
      <c r="I153" s="302">
        <f>F153/$F$177</f>
        <v>1.1996244765624239E-2</v>
      </c>
      <c r="J153" s="303">
        <f>Calculations!AS48</f>
        <v>20703226.487434488</v>
      </c>
      <c r="K153" s="5">
        <f>E153*1.091947</f>
        <v>2016699.4322285301</v>
      </c>
      <c r="L153" s="5">
        <f>J153+K153</f>
        <v>22719925.919663019</v>
      </c>
      <c r="M153" s="119">
        <v>3718</v>
      </c>
      <c r="N153" s="55">
        <f>SUM(L153/M153)</f>
        <v>6110.7923398770899</v>
      </c>
      <c r="O153" s="33">
        <f>L153/$L$177</f>
        <v>1.1836047572070537E-2</v>
      </c>
      <c r="P153" s="180">
        <f>SUM(H153*'Front page'!$H$10)+H153</f>
        <v>5920.891747310382</v>
      </c>
      <c r="Q153" s="180">
        <f>MIN(N153,P153)*M153</f>
        <v>22013875.5165</v>
      </c>
      <c r="R153" s="187"/>
      <c r="S153" s="5">
        <f>L153-F153</f>
        <v>1754330.189663019</v>
      </c>
      <c r="T153" s="5" t="str">
        <f>IF(S153&lt;0,S153,"")</f>
        <v/>
      </c>
      <c r="U153" s="5">
        <f>SUM(Q153-F153)</f>
        <v>1048279.7864999995</v>
      </c>
      <c r="V153" s="5">
        <f>SUM(Q153-L153)</f>
        <v>-706050.40316301957</v>
      </c>
      <c r="W153" s="52">
        <f>SUM(S153/F153)</f>
        <v>8.3676620128314325E-2</v>
      </c>
      <c r="X153" s="6">
        <f>SUM(F153*$X$1)+F153</f>
        <v>22013875.5165</v>
      </c>
      <c r="Y153" s="5">
        <f>MIN(L153,Q153)</f>
        <v>22013875.5165</v>
      </c>
      <c r="Z153" s="54">
        <f>SUM(Y153-F153)</f>
        <v>1048279.7864999995</v>
      </c>
      <c r="AA153" s="5">
        <f>SUM(Y153-L153)</f>
        <v>-706050.40316301957</v>
      </c>
      <c r="AB153" s="55">
        <f>SUM(F153*'Front page'!$H$11)+F153</f>
        <v>21594563.6019</v>
      </c>
      <c r="AC153" s="55">
        <f>MAX(AB153,L153)</f>
        <v>22719925.919663019</v>
      </c>
      <c r="AD153" s="55">
        <f>MAX(Q153,AB153)</f>
        <v>22013875.5165</v>
      </c>
      <c r="AE153" s="55">
        <f>SUM(AC153-F153)</f>
        <v>1754330.189663019</v>
      </c>
      <c r="AF153" s="53">
        <f>SUM(AE153/F153)</f>
        <v>8.3676620128314325E-2</v>
      </c>
      <c r="AG153" s="313">
        <f>SUM(AD153-F153)</f>
        <v>1048279.7864999995</v>
      </c>
      <c r="AH153" s="53">
        <f>SUM(AG153/F153)</f>
        <v>4.9999999999999975E-2</v>
      </c>
    </row>
    <row r="154" spans="1:34">
      <c r="A154" t="str">
        <f>RIGHT(C154,3)</f>
        <v>084</v>
      </c>
      <c r="B154">
        <f>A154*1</f>
        <v>84</v>
      </c>
      <c r="C154" s="14" t="s">
        <v>31</v>
      </c>
      <c r="D154" s="299">
        <v>18830959</v>
      </c>
      <c r="E154" s="299">
        <v>2435814</v>
      </c>
      <c r="F154" s="299">
        <f>D154+E154</f>
        <v>21266773</v>
      </c>
      <c r="G154" s="300">
        <v>3545.5</v>
      </c>
      <c r="H154" s="301">
        <f>SUM(F154/G154)</f>
        <v>5998.2436891834723</v>
      </c>
      <c r="I154" s="302">
        <f>F154/$F$177</f>
        <v>1.216857453365428E-2</v>
      </c>
      <c r="J154" s="303">
        <f>Calculations!AS23</f>
        <v>20593397.558996849</v>
      </c>
      <c r="K154" s="5">
        <f>E154*1.091947</f>
        <v>2659779.7898579999</v>
      </c>
      <c r="L154" s="5">
        <f>J154+K154</f>
        <v>23253177.348854847</v>
      </c>
      <c r="M154" s="119">
        <v>3545.5</v>
      </c>
      <c r="N154" s="55">
        <f>SUM(L154/M154)</f>
        <v>6558.5043996206032</v>
      </c>
      <c r="O154" s="33">
        <f>L154/$L$177</f>
        <v>1.211384730196872E-2</v>
      </c>
      <c r="P154" s="180">
        <f>SUM(H154*'Front page'!$H$10)+H154</f>
        <v>6298.1558736426459</v>
      </c>
      <c r="Q154" s="180">
        <f>MIN(N154,P154)*M154</f>
        <v>22330111.650000002</v>
      </c>
      <c r="R154" s="187"/>
      <c r="S154" s="5">
        <f>L154-F154</f>
        <v>1986404.3488548473</v>
      </c>
      <c r="T154" s="5" t="str">
        <f>IF(S154&lt;0,S154,"")</f>
        <v/>
      </c>
      <c r="U154" s="5">
        <f>SUM(Q154-F154)</f>
        <v>1063338.6500000022</v>
      </c>
      <c r="V154" s="5">
        <f>SUM(Q154-L154)</f>
        <v>-923065.69885484502</v>
      </c>
      <c r="W154" s="52">
        <f>SUM(S154/F154)</f>
        <v>9.3404126185709854E-2</v>
      </c>
      <c r="X154" s="6">
        <f>SUM(F154*$X$1)+F154</f>
        <v>22330111.649999999</v>
      </c>
      <c r="Y154" s="5">
        <f>MIN(L154,Q154)</f>
        <v>22330111.650000002</v>
      </c>
      <c r="Z154" s="54">
        <f>SUM(Y154-F154)</f>
        <v>1063338.6500000022</v>
      </c>
      <c r="AA154" s="5">
        <f>SUM(Y154-L154)</f>
        <v>-923065.69885484502</v>
      </c>
      <c r="AB154" s="55">
        <f>SUM(F154*'Front page'!$H$11)+F154</f>
        <v>21904776.190000001</v>
      </c>
      <c r="AC154" s="55">
        <f>MAX(AB154,L154)</f>
        <v>23253177.348854847</v>
      </c>
      <c r="AD154" s="55">
        <f>MAX(Q154,AB154)</f>
        <v>22330111.650000002</v>
      </c>
      <c r="AE154" s="55">
        <f>SUM(AC154-F154)</f>
        <v>1986404.3488548473</v>
      </c>
      <c r="AF154" s="53">
        <f>SUM(AE154/F154)</f>
        <v>9.3404126185709854E-2</v>
      </c>
      <c r="AG154" s="313">
        <f>SUM(AD154-F154)</f>
        <v>1063338.6500000022</v>
      </c>
      <c r="AH154" s="53">
        <f>SUM(AG154/F154)</f>
        <v>5.0000000000000107E-2</v>
      </c>
    </row>
    <row r="155" spans="1:34">
      <c r="A155" t="str">
        <f>RIGHT(C155,3)</f>
        <v>261</v>
      </c>
      <c r="B155">
        <f>A155*1</f>
        <v>261</v>
      </c>
      <c r="C155" s="14" t="s">
        <v>71</v>
      </c>
      <c r="D155" s="299">
        <v>19607333.829999998</v>
      </c>
      <c r="E155" s="299">
        <v>2437835.59</v>
      </c>
      <c r="F155" s="299">
        <f>D155+E155</f>
        <v>22045169.419999998</v>
      </c>
      <c r="G155" s="300">
        <v>3830.5</v>
      </c>
      <c r="H155" s="301">
        <f>SUM(F155/G155)</f>
        <v>5755.1675812557105</v>
      </c>
      <c r="I155" s="302">
        <f>F155/$F$177</f>
        <v>1.2613962973804538E-2</v>
      </c>
      <c r="J155" s="303">
        <f>Calculations!AS63</f>
        <v>22089853.796961132</v>
      </c>
      <c r="K155" s="5">
        <f>E155*1.091947</f>
        <v>2661987.2589937299</v>
      </c>
      <c r="L155" s="5">
        <f>J155+K155</f>
        <v>24751841.055954862</v>
      </c>
      <c r="M155" s="119">
        <v>3830.5</v>
      </c>
      <c r="N155" s="55">
        <f>SUM(L155/M155)</f>
        <v>6461.7781114619138</v>
      </c>
      <c r="O155" s="33">
        <f>L155/$L$177</f>
        <v>1.289458289919264E-2</v>
      </c>
      <c r="P155" s="180">
        <f>SUM(H155*'Front page'!$H$10)+H155</f>
        <v>6042.9259603184964</v>
      </c>
      <c r="Q155" s="180">
        <f>MIN(N155,P155)*M155</f>
        <v>23147427.890999999</v>
      </c>
      <c r="R155" s="187"/>
      <c r="S155" s="5">
        <f>L155-F155</f>
        <v>2706671.6359548643</v>
      </c>
      <c r="T155" s="5" t="str">
        <f>IF(S155&lt;0,S155,"")</f>
        <v/>
      </c>
      <c r="U155" s="5">
        <f>SUM(Q155-F155)</f>
        <v>1102258.4710000008</v>
      </c>
      <c r="V155" s="5">
        <f>SUM(Q155-L155)</f>
        <v>-1604413.1649548635</v>
      </c>
      <c r="W155" s="52">
        <f>SUM(S155/F155)</f>
        <v>0.12277844567160802</v>
      </c>
      <c r="X155" s="6">
        <f>SUM(F155*$X$1)+F155</f>
        <v>23147427.890999999</v>
      </c>
      <c r="Y155" s="5">
        <f>MIN(L155,Q155)</f>
        <v>23147427.890999999</v>
      </c>
      <c r="Z155" s="54">
        <f>SUM(Y155-F155)</f>
        <v>1102258.4710000008</v>
      </c>
      <c r="AA155" s="5">
        <f>SUM(Y155-L155)</f>
        <v>-1604413.1649548635</v>
      </c>
      <c r="AB155" s="55">
        <f>SUM(F155*'Front page'!$H$11)+F155</f>
        <v>22706524.502599999</v>
      </c>
      <c r="AC155" s="55">
        <f>MAX(AB155,L155)</f>
        <v>24751841.055954862</v>
      </c>
      <c r="AD155" s="55">
        <f>MAX(Q155,AB155)</f>
        <v>23147427.890999999</v>
      </c>
      <c r="AE155" s="55">
        <f>SUM(AC155-F155)</f>
        <v>2706671.6359548643</v>
      </c>
      <c r="AF155" s="53">
        <f>SUM(AE155/F155)</f>
        <v>0.12277844567160802</v>
      </c>
      <c r="AG155" s="313">
        <f>SUM(AD155-F155)</f>
        <v>1102258.4710000008</v>
      </c>
      <c r="AH155" s="53">
        <f>SUM(AG155/F155)</f>
        <v>5.0000000000000044E-2</v>
      </c>
    </row>
    <row r="156" spans="1:34">
      <c r="A156" t="str">
        <f>RIGHT(C156,3)</f>
        <v>055</v>
      </c>
      <c r="B156">
        <f>A156*1</f>
        <v>55</v>
      </c>
      <c r="C156" s="14" t="s">
        <v>22</v>
      </c>
      <c r="D156" s="299">
        <v>19779597.309999999</v>
      </c>
      <c r="E156" s="299">
        <v>2368982.63</v>
      </c>
      <c r="F156" s="299">
        <f>D156+E156</f>
        <v>22148579.939999998</v>
      </c>
      <c r="G156" s="300">
        <v>3721.5</v>
      </c>
      <c r="H156" s="301">
        <f>SUM(F156/G156)</f>
        <v>5951.5195324465931</v>
      </c>
      <c r="I156" s="302">
        <f>F156/$F$177</f>
        <v>1.2673133145987406E-2</v>
      </c>
      <c r="J156" s="303">
        <f>Calculations!AS14</f>
        <v>20897863.430559009</v>
      </c>
      <c r="K156" s="5">
        <f>E156*1.091947</f>
        <v>2586803.4758806098</v>
      </c>
      <c r="L156" s="5">
        <f>J156+K156</f>
        <v>23484666.906439617</v>
      </c>
      <c r="M156" s="119">
        <v>3721.5</v>
      </c>
      <c r="N156" s="55">
        <f>SUM(L156/M156)</f>
        <v>6310.5379299851184</v>
      </c>
      <c r="O156" s="33">
        <f>L156/$L$177</f>
        <v>1.2234442827926822E-2</v>
      </c>
      <c r="P156" s="180">
        <f>SUM(H156*'Front page'!$H$10)+H156</f>
        <v>6249.0955090689231</v>
      </c>
      <c r="Q156" s="180">
        <f>MIN(N156,P156)*M156</f>
        <v>23256008.936999999</v>
      </c>
      <c r="R156" s="187"/>
      <c r="S156" s="5">
        <f>L156-F156</f>
        <v>1336086.9664396197</v>
      </c>
      <c r="T156" s="5" t="str">
        <f>IF(S156&lt;0,S156,"")</f>
        <v/>
      </c>
      <c r="U156" s="5">
        <f>SUM(Q156-F156)</f>
        <v>1107428.9970000014</v>
      </c>
      <c r="V156" s="5">
        <f>SUM(Q156-L156)</f>
        <v>-228657.96943961829</v>
      </c>
      <c r="W156" s="52">
        <f>SUM(S156/F156)</f>
        <v>6.0323820762281329E-2</v>
      </c>
      <c r="X156" s="6">
        <f>SUM(F156*$X$1)+F156</f>
        <v>23256008.936999999</v>
      </c>
      <c r="Y156" s="5">
        <f>MIN(L156,Q156)</f>
        <v>23256008.936999999</v>
      </c>
      <c r="Z156" s="54">
        <f>SUM(Y156-F156)</f>
        <v>1107428.9970000014</v>
      </c>
      <c r="AA156" s="5">
        <f>SUM(Y156-L156)</f>
        <v>-228657.96943961829</v>
      </c>
      <c r="AB156" s="55">
        <f>SUM(F156*'Front page'!$H$11)+F156</f>
        <v>22813037.338199999</v>
      </c>
      <c r="AC156" s="55">
        <f>MAX(AB156,L156)</f>
        <v>23484666.906439617</v>
      </c>
      <c r="AD156" s="55">
        <f>MAX(Q156,AB156)</f>
        <v>23256008.936999999</v>
      </c>
      <c r="AE156" s="55">
        <f>SUM(AC156-F156)</f>
        <v>1336086.9664396197</v>
      </c>
      <c r="AF156" s="53">
        <f>SUM(AE156/F156)</f>
        <v>6.0323820762281329E-2</v>
      </c>
      <c r="AG156" s="313">
        <f>SUM(AD156-F156)</f>
        <v>1107428.9970000014</v>
      </c>
      <c r="AH156" s="53">
        <f>SUM(AG156/F156)</f>
        <v>5.0000000000000065E-2</v>
      </c>
    </row>
    <row r="157" spans="1:34">
      <c r="A157" t="str">
        <f>RIGHT(C157,3)</f>
        <v>134</v>
      </c>
      <c r="B157">
        <f>A157*1</f>
        <v>134</v>
      </c>
      <c r="C157" s="14" t="s">
        <v>41</v>
      </c>
      <c r="D157" s="299">
        <v>19601899</v>
      </c>
      <c r="E157" s="299">
        <v>3281167</v>
      </c>
      <c r="F157" s="299">
        <f>D157+E157</f>
        <v>22883066</v>
      </c>
      <c r="G157" s="300">
        <v>3868.5</v>
      </c>
      <c r="H157" s="301">
        <f>SUM(F157/G157)</f>
        <v>5915.229675584852</v>
      </c>
      <c r="I157" s="302">
        <f>F157/$F$177</f>
        <v>1.3093396641772125E-2</v>
      </c>
      <c r="J157" s="303">
        <f>Calculations!AS33</f>
        <v>21528422.644652743</v>
      </c>
      <c r="K157" s="5">
        <f>E157*1.091947</f>
        <v>3582860.4621489998</v>
      </c>
      <c r="L157" s="5">
        <f>J157+K157</f>
        <v>25111283.106801741</v>
      </c>
      <c r="M157" s="119">
        <v>3868.5</v>
      </c>
      <c r="N157" s="55">
        <f>SUM(L157/M157)</f>
        <v>6491.2196217659921</v>
      </c>
      <c r="O157" s="33">
        <f>L157/$L$177</f>
        <v>1.3081835851876975E-2</v>
      </c>
      <c r="P157" s="180">
        <f>SUM(H157*'Front page'!$H$10)+H157</f>
        <v>6210.9911593640945</v>
      </c>
      <c r="Q157" s="180">
        <f>MIN(N157,P157)*M157</f>
        <v>24027219.300000001</v>
      </c>
      <c r="R157" s="187"/>
      <c r="S157" s="5">
        <f>L157-F157</f>
        <v>2228217.1068017408</v>
      </c>
      <c r="T157" s="5" t="str">
        <f>IF(S157&lt;0,S157,"")</f>
        <v/>
      </c>
      <c r="U157" s="5">
        <f>SUM(Q157-F157)</f>
        <v>1144153.3000000007</v>
      </c>
      <c r="V157" s="5">
        <f>SUM(Q157-L157)</f>
        <v>-1084063.8068017401</v>
      </c>
      <c r="W157" s="52">
        <f>SUM(S157/F157)</f>
        <v>9.7374062846374732E-2</v>
      </c>
      <c r="X157" s="6">
        <f>SUM(F157*$X$1)+F157</f>
        <v>24027219.300000001</v>
      </c>
      <c r="Y157" s="5">
        <f>MIN(L157,Q157)</f>
        <v>24027219.300000001</v>
      </c>
      <c r="Z157" s="54">
        <f>SUM(Y157-F157)</f>
        <v>1144153.3000000007</v>
      </c>
      <c r="AA157" s="5">
        <f>SUM(Y157-L157)</f>
        <v>-1084063.8068017401</v>
      </c>
      <c r="AB157" s="55">
        <f>SUM(F157*'Front page'!$H$11)+F157</f>
        <v>23569557.98</v>
      </c>
      <c r="AC157" s="55">
        <f>MAX(AB157,L157)</f>
        <v>25111283.106801741</v>
      </c>
      <c r="AD157" s="55">
        <f>MAX(Q157,AB157)</f>
        <v>24027219.300000001</v>
      </c>
      <c r="AE157" s="55">
        <f>SUM(AC157-F157)</f>
        <v>2228217.1068017408</v>
      </c>
      <c r="AF157" s="53">
        <f>SUM(AE157/F157)</f>
        <v>9.7374062846374732E-2</v>
      </c>
      <c r="AG157" s="313">
        <f>SUM(AD157-F157)</f>
        <v>1144153.3000000007</v>
      </c>
      <c r="AH157" s="53">
        <f>SUM(AG157/F157)</f>
        <v>5.0000000000000031E-2</v>
      </c>
    </row>
    <row r="158" spans="1:34">
      <c r="A158" t="str">
        <f>RIGHT(C158,3)</f>
        <v>331</v>
      </c>
      <c r="B158">
        <f>A158*1</f>
        <v>331</v>
      </c>
      <c r="C158" s="14" t="s">
        <v>93</v>
      </c>
      <c r="D158" s="299">
        <v>21079759.91</v>
      </c>
      <c r="E158" s="299">
        <v>2771395.7800000003</v>
      </c>
      <c r="F158" s="299">
        <f>D158+E158</f>
        <v>23851155.690000001</v>
      </c>
      <c r="G158" s="300">
        <v>3993</v>
      </c>
      <c r="H158" s="301">
        <f>SUM(F158/G158)</f>
        <v>5973.2420961682947</v>
      </c>
      <c r="I158" s="302">
        <f>F158/$F$177</f>
        <v>1.3647325136143475E-2</v>
      </c>
      <c r="J158" s="303">
        <f>Calculations!AS85</f>
        <v>23113553.025463425</v>
      </c>
      <c r="K158" s="5">
        <f>E158*1.091947</f>
        <v>3026217.3077836605</v>
      </c>
      <c r="L158" s="5">
        <f>J158+K158</f>
        <v>26139770.333247084</v>
      </c>
      <c r="M158" s="119">
        <v>3993</v>
      </c>
      <c r="N158" s="55">
        <f>SUM(L158/M158)</f>
        <v>6546.3987811788338</v>
      </c>
      <c r="O158" s="33">
        <f>L158/$L$177</f>
        <v>1.3617630897270966E-2</v>
      </c>
      <c r="P158" s="180">
        <f>SUM(H158*'Front page'!$H$10)+H158</f>
        <v>6271.904200976709</v>
      </c>
      <c r="Q158" s="180">
        <f>MIN(N158,P158)*M158</f>
        <v>25043713.4745</v>
      </c>
      <c r="R158" s="187"/>
      <c r="S158" s="5">
        <f>L158-F158</f>
        <v>2288614.6432470828</v>
      </c>
      <c r="T158" s="5" t="str">
        <f>IF(S158&lt;0,S158,"")</f>
        <v/>
      </c>
      <c r="U158" s="5">
        <f>SUM(Q158-F158)</f>
        <v>1192557.7844999991</v>
      </c>
      <c r="V158" s="5">
        <f>SUM(Q158-L158)</f>
        <v>-1096056.8587470837</v>
      </c>
      <c r="W158" s="52">
        <f>SUM(S158/F158)</f>
        <v>9.5954035644764291E-2</v>
      </c>
      <c r="X158" s="6">
        <f>SUM(F158*$X$1)+F158</f>
        <v>25043713.4745</v>
      </c>
      <c r="Y158" s="5">
        <f>MIN(L158,Q158)</f>
        <v>25043713.4745</v>
      </c>
      <c r="Z158" s="54">
        <f>SUM(Y158-F158)</f>
        <v>1192557.7844999991</v>
      </c>
      <c r="AA158" s="5">
        <f>SUM(Y158-L158)</f>
        <v>-1096056.8587470837</v>
      </c>
      <c r="AB158" s="55">
        <f>SUM(F158*'Front page'!$H$11)+F158</f>
        <v>24566690.3607</v>
      </c>
      <c r="AC158" s="55">
        <f>MAX(AB158,L158)</f>
        <v>26139770.333247084</v>
      </c>
      <c r="AD158" s="55">
        <f>MAX(Q158,AB158)</f>
        <v>25043713.4745</v>
      </c>
      <c r="AE158" s="55">
        <f>SUM(AC158-F158)</f>
        <v>2288614.6432470828</v>
      </c>
      <c r="AF158" s="53">
        <f>SUM(AE158/F158)</f>
        <v>9.5954035644764291E-2</v>
      </c>
      <c r="AG158" s="313">
        <f>SUM(AD158-F158)</f>
        <v>1192557.7844999991</v>
      </c>
      <c r="AH158" s="53">
        <f>SUM(AG158/F158)</f>
        <v>4.9999999999999961E-2</v>
      </c>
    </row>
    <row r="159" spans="1:34">
      <c r="A159" t="str">
        <f>RIGHT(C159,3)</f>
        <v>272</v>
      </c>
      <c r="B159">
        <f>A159*1</f>
        <v>272</v>
      </c>
      <c r="C159" s="14" t="s">
        <v>74</v>
      </c>
      <c r="D159" s="299">
        <v>22046970.469999999</v>
      </c>
      <c r="E159" s="299">
        <v>2147777.5999999996</v>
      </c>
      <c r="F159" s="299">
        <f>D159+E159</f>
        <v>24194748.07</v>
      </c>
      <c r="G159" s="300">
        <v>4221</v>
      </c>
      <c r="H159" s="301">
        <f>SUM(F159/G159)</f>
        <v>5731.9943307273161</v>
      </c>
      <c r="I159" s="302">
        <f>F159/$F$177</f>
        <v>1.3843924285681848E-2</v>
      </c>
      <c r="J159" s="303">
        <f>Calculations!AS66</f>
        <v>23460840.433389656</v>
      </c>
      <c r="K159" s="5">
        <f>E159*1.091947</f>
        <v>2345259.3069871995</v>
      </c>
      <c r="L159" s="5">
        <f>J159+K159</f>
        <v>25806099.740376856</v>
      </c>
      <c r="M159" s="119">
        <v>4221</v>
      </c>
      <c r="N159" s="55">
        <f>SUM(L159/M159)</f>
        <v>6113.7407582034721</v>
      </c>
      <c r="O159" s="33">
        <f>L159/$L$177</f>
        <v>1.3443803701505552E-2</v>
      </c>
      <c r="P159" s="180">
        <f>SUM(H159*'Front page'!$H$10)+H159</f>
        <v>6018.5940472636821</v>
      </c>
      <c r="Q159" s="180">
        <f>MIN(N159,P159)*M159</f>
        <v>25404485.473500002</v>
      </c>
      <c r="R159" s="187"/>
      <c r="S159" s="5">
        <f>L159-F159</f>
        <v>1611351.6703768559</v>
      </c>
      <c r="T159" s="5" t="str">
        <f>IF(S159&lt;0,S159,"")</f>
        <v/>
      </c>
      <c r="U159" s="5">
        <f>SUM(Q159-F159)</f>
        <v>1209737.4035000019</v>
      </c>
      <c r="V159" s="5">
        <f>SUM(Q159-L159)</f>
        <v>-401614.266876854</v>
      </c>
      <c r="W159" s="52">
        <f>SUM(S159/F159)</f>
        <v>6.6599233259834301E-2</v>
      </c>
      <c r="X159" s="6">
        <f>SUM(F159*$X$1)+F159</f>
        <v>25404485.473499998</v>
      </c>
      <c r="Y159" s="5">
        <f>MIN(L159,Q159)</f>
        <v>25404485.473500002</v>
      </c>
      <c r="Z159" s="54">
        <f>SUM(Y159-F159)</f>
        <v>1209737.4035000019</v>
      </c>
      <c r="AA159" s="5">
        <f>SUM(Y159-L159)</f>
        <v>-401614.266876854</v>
      </c>
      <c r="AB159" s="55">
        <f>SUM(F159*'Front page'!$H$11)+F159</f>
        <v>24920590.5121</v>
      </c>
      <c r="AC159" s="55">
        <f>MAX(AB159,L159)</f>
        <v>25806099.740376856</v>
      </c>
      <c r="AD159" s="55">
        <f>MAX(Q159,AB159)</f>
        <v>25404485.473500002</v>
      </c>
      <c r="AE159" s="55">
        <f>SUM(AC159-F159)</f>
        <v>1611351.6703768559</v>
      </c>
      <c r="AF159" s="53">
        <f>SUM(AE159/F159)</f>
        <v>6.6599233259834301E-2</v>
      </c>
      <c r="AG159" s="313">
        <f>SUM(AD159-F159)</f>
        <v>1209737.4035000019</v>
      </c>
      <c r="AH159" s="53">
        <f>SUM(AG159/F159)</f>
        <v>5.0000000000000079E-2</v>
      </c>
    </row>
    <row r="160" spans="1:34">
      <c r="A160" t="str">
        <f>RIGHT(C160,3)</f>
        <v>340</v>
      </c>
      <c r="B160">
        <f>A160*1</f>
        <v>340</v>
      </c>
      <c r="C160" s="14" t="s">
        <v>94</v>
      </c>
      <c r="D160" s="299">
        <v>23480938.120000001</v>
      </c>
      <c r="E160" s="299">
        <v>2088489.71</v>
      </c>
      <c r="F160" s="299">
        <f>D160+E160</f>
        <v>25569427.830000002</v>
      </c>
      <c r="G160" s="300">
        <v>4503</v>
      </c>
      <c r="H160" s="301">
        <f>SUM(F160/G160)</f>
        <v>5678.3095336442375</v>
      </c>
      <c r="I160" s="302">
        <f>F160/$F$177</f>
        <v>1.4630498399181156E-2</v>
      </c>
      <c r="J160" s="303">
        <f>Calculations!AS86</f>
        <v>24723307.08974874</v>
      </c>
      <c r="K160" s="5">
        <f>E160*1.091947</f>
        <v>2280520.0733653698</v>
      </c>
      <c r="L160" s="5">
        <f>J160+K160</f>
        <v>27003827.163114108</v>
      </c>
      <c r="M160" s="119">
        <v>4503</v>
      </c>
      <c r="N160" s="55">
        <f>SUM(L160/M160)</f>
        <v>5996.8525789727091</v>
      </c>
      <c r="O160" s="33">
        <f>L160/$L$177</f>
        <v>1.4067765188176711E-2</v>
      </c>
      <c r="P160" s="180">
        <f>SUM(H160*'Front page'!$H$10)+H160</f>
        <v>5962.2250103264496</v>
      </c>
      <c r="Q160" s="180">
        <f>MIN(N160,P160)*M160</f>
        <v>26847899.221500002</v>
      </c>
      <c r="R160" s="187"/>
      <c r="S160" s="5">
        <f>L160-F160</f>
        <v>1434399.3331141062</v>
      </c>
      <c r="T160" s="5" t="str">
        <f>IF(S160&lt;0,S160,"")</f>
        <v/>
      </c>
      <c r="U160" s="5">
        <f>SUM(Q160-F160)</f>
        <v>1278471.3914999999</v>
      </c>
      <c r="V160" s="5">
        <f>SUM(Q160-L160)</f>
        <v>-155927.9416141063</v>
      </c>
      <c r="W160" s="52">
        <f>SUM(S160/F160)</f>
        <v>5.6098217865914055E-2</v>
      </c>
      <c r="X160" s="6">
        <f>SUM(F160*$X$1)+F160</f>
        <v>26847899.221500002</v>
      </c>
      <c r="Y160" s="5">
        <f>MIN(L160,Q160)</f>
        <v>26847899.221500002</v>
      </c>
      <c r="Z160" s="54">
        <f>SUM(Y160-F160)</f>
        <v>1278471.3914999999</v>
      </c>
      <c r="AA160" s="5">
        <f>SUM(Y160-L160)</f>
        <v>-155927.9416141063</v>
      </c>
      <c r="AB160" s="55">
        <f>SUM(F160*'Front page'!$H$11)+F160</f>
        <v>26336510.664900001</v>
      </c>
      <c r="AC160" s="55">
        <f>MAX(AB160,L160)</f>
        <v>27003827.163114108</v>
      </c>
      <c r="AD160" s="55">
        <f>MAX(Q160,AB160)</f>
        <v>26847899.221500002</v>
      </c>
      <c r="AE160" s="55">
        <f>SUM(AC160-F160)</f>
        <v>1434399.3331141062</v>
      </c>
      <c r="AF160" s="53">
        <f>SUM(AE160/F160)</f>
        <v>5.6098217865914055E-2</v>
      </c>
      <c r="AG160" s="313">
        <f>SUM(AD160-F160)</f>
        <v>1278471.3914999999</v>
      </c>
      <c r="AH160" s="53">
        <f>SUM(AG160/F160)</f>
        <v>4.9999999999999996E-2</v>
      </c>
    </row>
    <row r="161" spans="1:34">
      <c r="A161" t="str">
        <f>RIGHT(C161,3)</f>
        <v>321</v>
      </c>
      <c r="B161">
        <f>A161*1</f>
        <v>321</v>
      </c>
      <c r="C161" s="14" t="s">
        <v>91</v>
      </c>
      <c r="D161" s="299">
        <v>25343757.650000002</v>
      </c>
      <c r="E161" s="299">
        <v>3064941.15</v>
      </c>
      <c r="F161" s="299">
        <f>D161+E161</f>
        <v>28408698.800000001</v>
      </c>
      <c r="G161" s="300">
        <v>5021</v>
      </c>
      <c r="H161" s="301">
        <f>SUM(F161/G161)</f>
        <v>5657.9762597092213</v>
      </c>
      <c r="I161" s="302">
        <f>F161/$F$177</f>
        <v>1.6255092803780569E-2</v>
      </c>
      <c r="J161" s="303">
        <f>Calculations!AS83</f>
        <v>27454847.051036328</v>
      </c>
      <c r="K161" s="5">
        <f>E161*1.091947</f>
        <v>3346753.2939190497</v>
      </c>
      <c r="L161" s="5">
        <f>J161+K161</f>
        <v>30801600.344955377</v>
      </c>
      <c r="M161" s="119">
        <v>5021</v>
      </c>
      <c r="N161" s="55">
        <f>SUM(L161/M161)</f>
        <v>6134.5549382504241</v>
      </c>
      <c r="O161" s="33">
        <f>L161/$L$177</f>
        <v>1.6046232204625227E-2</v>
      </c>
      <c r="P161" s="180">
        <f>SUM(H161*'Front page'!$H$10)+H161</f>
        <v>5940.8750726946819</v>
      </c>
      <c r="Q161" s="180">
        <f>MIN(N161,P161)*M161</f>
        <v>29829133.739999998</v>
      </c>
      <c r="R161" s="187"/>
      <c r="S161" s="5">
        <f>L161-F161</f>
        <v>2392901.5449553765</v>
      </c>
      <c r="T161" s="5" t="str">
        <f>IF(S161&lt;0,S161,"")</f>
        <v/>
      </c>
      <c r="U161" s="5">
        <f>SUM(Q161-F161)</f>
        <v>1420434.9399999976</v>
      </c>
      <c r="V161" s="5">
        <f>SUM(Q161-L161)</f>
        <v>-972466.60495537892</v>
      </c>
      <c r="W161" s="52">
        <f>SUM(S161/F161)</f>
        <v>8.423129696300545E-2</v>
      </c>
      <c r="X161" s="6">
        <f>SUM(F161*$X$1)+F161</f>
        <v>29829133.740000002</v>
      </c>
      <c r="Y161" s="5">
        <f>MIN(L161,Q161)</f>
        <v>29829133.739999998</v>
      </c>
      <c r="Z161" s="54">
        <f>SUM(Y161-F161)</f>
        <v>1420434.9399999976</v>
      </c>
      <c r="AA161" s="5">
        <f>SUM(Y161-L161)</f>
        <v>-972466.60495537892</v>
      </c>
      <c r="AB161" s="55">
        <f>SUM(F161*'Front page'!$H$11)+F161</f>
        <v>29260959.764000002</v>
      </c>
      <c r="AC161" s="55">
        <f>MAX(AB161,L161)</f>
        <v>30801600.344955377</v>
      </c>
      <c r="AD161" s="55">
        <f>MAX(Q161,AB161)</f>
        <v>29829133.739999998</v>
      </c>
      <c r="AE161" s="55">
        <f>SUM(AC161-F161)</f>
        <v>2392901.5449553765</v>
      </c>
      <c r="AF161" s="53">
        <f>SUM(AE161/F161)</f>
        <v>8.423129696300545E-2</v>
      </c>
      <c r="AG161" s="313">
        <f>SUM(AD161-F161)</f>
        <v>1420434.9399999976</v>
      </c>
      <c r="AH161" s="53">
        <f>SUM(AG161/F161)</f>
        <v>4.9999999999999913E-2</v>
      </c>
    </row>
    <row r="162" spans="1:34">
      <c r="A162" t="str">
        <f>RIGHT(C162,3)</f>
        <v>003</v>
      </c>
      <c r="B162">
        <f>A162*1</f>
        <v>3</v>
      </c>
      <c r="C162" s="14" t="s">
        <v>13</v>
      </c>
      <c r="D162" s="299">
        <v>26329257</v>
      </c>
      <c r="E162" s="299">
        <v>3445687</v>
      </c>
      <c r="F162" s="299">
        <f>D162+E162</f>
        <v>29774944</v>
      </c>
      <c r="G162" s="300">
        <v>5187</v>
      </c>
      <c r="H162" s="301">
        <f>SUM(F162/G162)</f>
        <v>5740.3015230383653</v>
      </c>
      <c r="I162" s="302">
        <f>F162/$F$177</f>
        <v>1.7036840770312558E-2</v>
      </c>
      <c r="J162" s="303">
        <f>Calculations!AS5</f>
        <v>28122224.409818888</v>
      </c>
      <c r="K162" s="5">
        <f>E162*1.091947</f>
        <v>3762507.582589</v>
      </c>
      <c r="L162" s="5">
        <f>J162+K162</f>
        <v>31884731.992407888</v>
      </c>
      <c r="M162" s="119">
        <v>5187</v>
      </c>
      <c r="N162" s="55">
        <f>SUM(L162/M162)</f>
        <v>6147.0468464252726</v>
      </c>
      <c r="O162" s="33">
        <f>L162/$L$177</f>
        <v>1.6610494506861341E-2</v>
      </c>
      <c r="P162" s="180">
        <f>SUM(H162*'Front page'!$H$10)+H162</f>
        <v>6027.3165991902833</v>
      </c>
      <c r="Q162" s="180">
        <f>MIN(N162,P162)*M162</f>
        <v>31263691.199999999</v>
      </c>
      <c r="R162" s="187"/>
      <c r="S162" s="5">
        <f>L162-F162</f>
        <v>2109787.9924078882</v>
      </c>
      <c r="T162" s="5" t="str">
        <f>IF(S162&lt;0,S162,"")</f>
        <v/>
      </c>
      <c r="U162" s="5">
        <f>SUM(Q162-F162)</f>
        <v>1488747.1999999993</v>
      </c>
      <c r="V162" s="5">
        <f>SUM(Q162-L162)</f>
        <v>-621040.79240788892</v>
      </c>
      <c r="W162" s="52">
        <f>SUM(S162/F162)</f>
        <v>7.0857832424735645E-2</v>
      </c>
      <c r="X162" s="6">
        <f>SUM(F162*$X$1)+F162</f>
        <v>31263691.199999999</v>
      </c>
      <c r="Y162" s="5">
        <f>MIN(L162,Q162)</f>
        <v>31263691.199999999</v>
      </c>
      <c r="Z162" s="54">
        <f>SUM(Y162-F162)</f>
        <v>1488747.1999999993</v>
      </c>
      <c r="AA162" s="5">
        <f>SUM(Y162-L162)</f>
        <v>-621040.79240788892</v>
      </c>
      <c r="AB162" s="55">
        <f>SUM(F162*'Front page'!$H$11)+F162</f>
        <v>30668192.32</v>
      </c>
      <c r="AC162" s="55">
        <f>MAX(AB162,L162)</f>
        <v>31884731.992407888</v>
      </c>
      <c r="AD162" s="55">
        <f>MAX(Q162,AB162)</f>
        <v>31263691.199999999</v>
      </c>
      <c r="AE162" s="55">
        <f>SUM(AC162-F162)</f>
        <v>2109787.9924078882</v>
      </c>
      <c r="AF162" s="53">
        <f>SUM(AE162/F162)</f>
        <v>7.0857832424735645E-2</v>
      </c>
      <c r="AG162" s="313">
        <f>SUM(AD162-F162)</f>
        <v>1488747.1999999993</v>
      </c>
      <c r="AH162" s="53">
        <f>SUM(AG162/F162)</f>
        <v>4.9999999999999975E-2</v>
      </c>
    </row>
    <row r="163" spans="1:34">
      <c r="A163" t="str">
        <f>RIGHT(C163,3)</f>
        <v>251</v>
      </c>
      <c r="B163">
        <f>A163*1</f>
        <v>251</v>
      </c>
      <c r="C163" s="14" t="s">
        <v>68</v>
      </c>
      <c r="D163" s="299">
        <v>27494385.949999999</v>
      </c>
      <c r="E163" s="299">
        <v>4005879.9899999998</v>
      </c>
      <c r="F163" s="299">
        <f>D163+E163</f>
        <v>31500265.939999998</v>
      </c>
      <c r="G163" s="300">
        <v>5596.5</v>
      </c>
      <c r="H163" s="301">
        <f>SUM(F163/G163)</f>
        <v>5628.5653426248546</v>
      </c>
      <c r="I163" s="302">
        <f>F163/$F$177</f>
        <v>1.8024047838420116E-2</v>
      </c>
      <c r="J163" s="303">
        <f>Calculations!AS60</f>
        <v>31803064.927150041</v>
      </c>
      <c r="K163" s="5">
        <f>E163*1.091947</f>
        <v>4374208.6374405297</v>
      </c>
      <c r="L163" s="5">
        <f>J163+K163</f>
        <v>36177273.564590573</v>
      </c>
      <c r="M163" s="119">
        <v>5596.5</v>
      </c>
      <c r="N163" s="55">
        <f>SUM(L163/M163)</f>
        <v>6464.2675894917493</v>
      </c>
      <c r="O163" s="33">
        <f>L163/$L$177</f>
        <v>1.8846713341073029E-2</v>
      </c>
      <c r="P163" s="180">
        <f>SUM(H163*'Front page'!$H$10)+H163</f>
        <v>5909.9936097560976</v>
      </c>
      <c r="Q163" s="180">
        <f>MIN(N163,P163)*M163</f>
        <v>33075279.237</v>
      </c>
      <c r="R163" s="187"/>
      <c r="S163" s="5">
        <f>L163-F163</f>
        <v>4677007.6245905757</v>
      </c>
      <c r="T163" s="5" t="str">
        <f>IF(S163&lt;0,S163,"")</f>
        <v/>
      </c>
      <c r="U163" s="5">
        <f>SUM(Q163-F163)</f>
        <v>1575013.2970000021</v>
      </c>
      <c r="V163" s="5">
        <f>SUM(Q163-L163)</f>
        <v>-3101994.3275905736</v>
      </c>
      <c r="W163" s="52">
        <f>SUM(S163/F163)</f>
        <v>0.14847517901909421</v>
      </c>
      <c r="X163" s="6">
        <f>SUM(F163*$X$1)+F163</f>
        <v>33075279.236999996</v>
      </c>
      <c r="Y163" s="5">
        <f>MIN(L163,Q163)</f>
        <v>33075279.237</v>
      </c>
      <c r="Z163" s="54">
        <f>SUM(Y163-F163)</f>
        <v>1575013.2970000021</v>
      </c>
      <c r="AA163" s="5">
        <f>SUM(Y163-L163)</f>
        <v>-3101994.3275905736</v>
      </c>
      <c r="AB163" s="55">
        <f>SUM(F163*'Front page'!$H$11)+F163</f>
        <v>32445273.918199997</v>
      </c>
      <c r="AC163" s="55">
        <f>MAX(AB163,L163)</f>
        <v>36177273.564590573</v>
      </c>
      <c r="AD163" s="55">
        <f>MAX(Q163,AB163)</f>
        <v>33075279.237</v>
      </c>
      <c r="AE163" s="55">
        <f>SUM(AC163-F163)</f>
        <v>4677007.6245905757</v>
      </c>
      <c r="AF163" s="53">
        <f>SUM(AE163/F163)</f>
        <v>0.14847517901909421</v>
      </c>
      <c r="AG163" s="313">
        <f>SUM(AD163-F163)</f>
        <v>1575013.2970000021</v>
      </c>
      <c r="AH163" s="53">
        <f>SUM(AG163/F163)</f>
        <v>5.0000000000000072E-2</v>
      </c>
    </row>
    <row r="164" spans="1:34">
      <c r="A164" t="str">
        <f>RIGHT(C164,3)</f>
        <v>273</v>
      </c>
      <c r="B164">
        <f>A164*1</f>
        <v>273</v>
      </c>
      <c r="C164" s="14" t="s">
        <v>75</v>
      </c>
      <c r="D164" s="299">
        <v>29173852.130000003</v>
      </c>
      <c r="E164" s="299">
        <v>2479988.08</v>
      </c>
      <c r="F164" s="299">
        <f>D164+E164</f>
        <v>31653840.210000001</v>
      </c>
      <c r="G164" s="300">
        <v>5617.5</v>
      </c>
      <c r="H164" s="301">
        <f>SUM(F164/G164)</f>
        <v>5634.8625206942588</v>
      </c>
      <c r="I164" s="302">
        <f>F164/$F$177</f>
        <v>1.8111921064458997E-2</v>
      </c>
      <c r="J164" s="303">
        <f>Calculations!AS67</f>
        <v>31712037.728546612</v>
      </c>
      <c r="K164" s="5">
        <f>E164*1.091947</f>
        <v>2708015.5439917599</v>
      </c>
      <c r="L164" s="5">
        <f>J164+K164</f>
        <v>34420053.272538371</v>
      </c>
      <c r="M164" s="119">
        <v>5617.5</v>
      </c>
      <c r="N164" s="55">
        <f>SUM(L164/M164)</f>
        <v>6127.2903021875163</v>
      </c>
      <c r="O164" s="33">
        <f>L164/$L$177</f>
        <v>1.7931281528272204E-2</v>
      </c>
      <c r="P164" s="180">
        <f>SUM(H164*'Front page'!$H$10)+H164</f>
        <v>5916.6056467289718</v>
      </c>
      <c r="Q164" s="180">
        <f>MIN(N164,P164)*M164</f>
        <v>33236532.2205</v>
      </c>
      <c r="R164" s="187"/>
      <c r="S164" s="5">
        <f>L164-F164</f>
        <v>2766213.0625383705</v>
      </c>
      <c r="T164" s="5" t="str">
        <f>IF(S164&lt;0,S164,"")</f>
        <v/>
      </c>
      <c r="U164" s="5">
        <f>SUM(Q164-F164)</f>
        <v>1582692.0104999989</v>
      </c>
      <c r="V164" s="5">
        <f>SUM(Q164-L164)</f>
        <v>-1183521.0520383716</v>
      </c>
      <c r="W164" s="52">
        <f>SUM(S164/F164)</f>
        <v>8.7389493476512703E-2</v>
      </c>
      <c r="X164" s="6">
        <f>SUM(F164*$X$1)+F164</f>
        <v>33236532.2205</v>
      </c>
      <c r="Y164" s="5">
        <f>MIN(L164,Q164)</f>
        <v>33236532.2205</v>
      </c>
      <c r="Z164" s="54">
        <f>SUM(Y164-F164)</f>
        <v>1582692.0104999989</v>
      </c>
      <c r="AA164" s="5">
        <f>SUM(Y164-L164)</f>
        <v>-1183521.0520383716</v>
      </c>
      <c r="AB164" s="55">
        <f>SUM(F164*'Front page'!$H$11)+F164</f>
        <v>32603455.416300002</v>
      </c>
      <c r="AC164" s="55">
        <f>MAX(AB164,L164)</f>
        <v>34420053.272538371</v>
      </c>
      <c r="AD164" s="55">
        <f>MAX(Q164,AB164)</f>
        <v>33236532.2205</v>
      </c>
      <c r="AE164" s="55">
        <f>SUM(AC164-F164)</f>
        <v>2766213.0625383705</v>
      </c>
      <c r="AF164" s="53">
        <f>SUM(AE164/F164)</f>
        <v>8.7389493476512703E-2</v>
      </c>
      <c r="AG164" s="313">
        <f>SUM(AD164-F164)</f>
        <v>1582692.0104999989</v>
      </c>
      <c r="AH164" s="53">
        <f>SUM(AG164/F164)</f>
        <v>4.9999999999999968E-2</v>
      </c>
    </row>
    <row r="165" spans="1:34">
      <c r="A165" t="str">
        <f>RIGHT(C165,3)</f>
        <v>151</v>
      </c>
      <c r="B165">
        <f>A165*1</f>
        <v>151</v>
      </c>
      <c r="C165" s="14" t="s">
        <v>49</v>
      </c>
      <c r="D165" s="299">
        <v>28716163.939999998</v>
      </c>
      <c r="E165" s="299">
        <v>3122357.82</v>
      </c>
      <c r="F165" s="299">
        <f>D165+E165</f>
        <v>31838521.759999998</v>
      </c>
      <c r="G165" s="300">
        <v>5220.5</v>
      </c>
      <c r="H165" s="301">
        <f>SUM(F165/G165)</f>
        <v>6098.749499090125</v>
      </c>
      <c r="I165" s="302">
        <f>F165/$F$177</f>
        <v>1.8217593476825732E-2</v>
      </c>
      <c r="J165" s="303">
        <f>Calculations!AS41</f>
        <v>30342953.487921648</v>
      </c>
      <c r="K165" s="5">
        <f>E165*1.091947</f>
        <v>3409449.25447554</v>
      </c>
      <c r="L165" s="5">
        <f>J165+K165</f>
        <v>33752402.742397189</v>
      </c>
      <c r="M165" s="119">
        <v>5220.5</v>
      </c>
      <c r="N165" s="55">
        <f>SUM(L165/M165)</f>
        <v>6465.3582496690333</v>
      </c>
      <c r="O165" s="33">
        <f>L165/$L$177</f>
        <v>1.7583465982384791E-2</v>
      </c>
      <c r="P165" s="180">
        <f>SUM(H165*'Front page'!$H$10)+H165</f>
        <v>6403.6869740446309</v>
      </c>
      <c r="Q165" s="180">
        <f>MIN(N165,P165)*M165</f>
        <v>33430447.847999997</v>
      </c>
      <c r="R165" s="187"/>
      <c r="S165" s="5">
        <f>L165-F165</f>
        <v>1913880.9823971912</v>
      </c>
      <c r="T165" s="5" t="str">
        <f>IF(S165&lt;0,S165,"")</f>
        <v/>
      </c>
      <c r="U165" s="5">
        <f>SUM(Q165-F165)</f>
        <v>1591926.0879999995</v>
      </c>
      <c r="V165" s="5">
        <f>SUM(Q165-L165)</f>
        <v>-321954.8943971917</v>
      </c>
      <c r="W165" s="52">
        <f>SUM(S165/F165)</f>
        <v>6.0112118170061402E-2</v>
      </c>
      <c r="X165" s="6">
        <f>SUM(F165*$X$1)+F165</f>
        <v>33430447.847999997</v>
      </c>
      <c r="Y165" s="5">
        <f>MIN(L165,Q165)</f>
        <v>33430447.847999997</v>
      </c>
      <c r="Z165" s="54">
        <f>SUM(Y165-F165)</f>
        <v>1591926.0879999995</v>
      </c>
      <c r="AA165" s="5">
        <f>SUM(Y165-L165)</f>
        <v>-321954.8943971917</v>
      </c>
      <c r="AB165" s="55">
        <f>SUM(F165*'Front page'!$H$11)+F165</f>
        <v>32793677.412799999</v>
      </c>
      <c r="AC165" s="55">
        <f>MAX(AB165,L165)</f>
        <v>33752402.742397189</v>
      </c>
      <c r="AD165" s="55">
        <f>MAX(Q165,AB165)</f>
        <v>33430447.847999997</v>
      </c>
      <c r="AE165" s="55">
        <f>SUM(AC165-F165)</f>
        <v>1913880.9823971912</v>
      </c>
      <c r="AF165" s="53">
        <f>SUM(AE165/F165)</f>
        <v>6.0112118170061402E-2</v>
      </c>
      <c r="AG165" s="313">
        <f>SUM(AD165-F165)</f>
        <v>1591926.0879999995</v>
      </c>
      <c r="AH165" s="53">
        <f>SUM(AG165/F165)</f>
        <v>4.9999999999999989E-2</v>
      </c>
    </row>
    <row r="166" spans="1:34">
      <c r="A166" t="str">
        <f>RIGHT(C166,3)</f>
        <v>132</v>
      </c>
      <c r="B166">
        <f>A166*1</f>
        <v>132</v>
      </c>
      <c r="C166" s="14" t="s">
        <v>39</v>
      </c>
      <c r="D166" s="299">
        <v>30934240.68</v>
      </c>
      <c r="E166" s="299">
        <v>5052384.3800000008</v>
      </c>
      <c r="F166" s="299">
        <f>D166+E166</f>
        <v>35986625.060000002</v>
      </c>
      <c r="G166" s="300">
        <v>6096.5</v>
      </c>
      <c r="H166" s="301">
        <f>SUM(F166/G166)</f>
        <v>5902.8336028869026</v>
      </c>
      <c r="I166" s="302">
        <f>F166/$F$177</f>
        <v>2.0591084940685685E-2</v>
      </c>
      <c r="J166" s="303">
        <f>Calculations!AS31</f>
        <v>34314965.977701232</v>
      </c>
      <c r="K166" s="5">
        <f>E166*1.091947</f>
        <v>5516935.9665878611</v>
      </c>
      <c r="L166" s="5">
        <f>J166+K166</f>
        <v>39831901.944289096</v>
      </c>
      <c r="M166" s="119">
        <v>6096.5</v>
      </c>
      <c r="N166" s="55">
        <f>SUM(L166/M166)</f>
        <v>6533.5687598276218</v>
      </c>
      <c r="O166" s="33">
        <f>L166/$L$177</f>
        <v>2.0750608429168999E-2</v>
      </c>
      <c r="P166" s="180">
        <f>SUM(H166*'Front page'!$H$10)+H166</f>
        <v>6197.9752830312473</v>
      </c>
      <c r="Q166" s="180">
        <f>MIN(N166,P166)*M166</f>
        <v>37785956.313000001</v>
      </c>
      <c r="R166" s="187"/>
      <c r="S166" s="5">
        <f>L166-F166</f>
        <v>3845276.8842890933</v>
      </c>
      <c r="T166" s="5" t="str">
        <f>IF(S166&lt;0,S166,"")</f>
        <v/>
      </c>
      <c r="U166" s="5">
        <f>SUM(Q166-F166)</f>
        <v>1799331.2529999986</v>
      </c>
      <c r="V166" s="5">
        <f>SUM(Q166-L166)</f>
        <v>-2045945.6312890947</v>
      </c>
      <c r="W166" s="52">
        <f>SUM(S166/F166)</f>
        <v>0.10685294544509012</v>
      </c>
      <c r="X166" s="6">
        <f>SUM(F166*$X$1)+F166</f>
        <v>37785956.313000001</v>
      </c>
      <c r="Y166" s="5">
        <f>MIN(L166,Q166)</f>
        <v>37785956.313000001</v>
      </c>
      <c r="Z166" s="54">
        <f>SUM(Y166-F166)</f>
        <v>1799331.2529999986</v>
      </c>
      <c r="AA166" s="5">
        <f>SUM(Y166-L166)</f>
        <v>-2045945.6312890947</v>
      </c>
      <c r="AB166" s="55">
        <f>SUM(F166*'Front page'!$H$11)+F166</f>
        <v>37066223.811800003</v>
      </c>
      <c r="AC166" s="55">
        <f>MAX(AB166,L166)</f>
        <v>39831901.944289096</v>
      </c>
      <c r="AD166" s="55">
        <f>MAX(Q166,AB166)</f>
        <v>37785956.313000001</v>
      </c>
      <c r="AE166" s="55">
        <f>SUM(AC166-F166)</f>
        <v>3845276.8842890933</v>
      </c>
      <c r="AF166" s="53">
        <f>SUM(AE166/F166)</f>
        <v>0.10685294544509012</v>
      </c>
      <c r="AG166" s="313">
        <f>SUM(AD166-F166)</f>
        <v>1799331.2529999986</v>
      </c>
      <c r="AH166" s="53">
        <f>SUM(AG166/F166)</f>
        <v>4.9999999999999961E-2</v>
      </c>
    </row>
    <row r="167" spans="1:34">
      <c r="A167" t="str">
        <f>RIGHT(C167,3)</f>
        <v>139</v>
      </c>
      <c r="B167">
        <f>A167*1</f>
        <v>139</v>
      </c>
      <c r="C167" s="14" t="s">
        <v>45</v>
      </c>
      <c r="D167" s="299">
        <v>42769998</v>
      </c>
      <c r="E167" s="299">
        <v>8539774</v>
      </c>
      <c r="F167" s="299">
        <f>D167+E167</f>
        <v>51309772</v>
      </c>
      <c r="G167" s="300">
        <v>8356.5</v>
      </c>
      <c r="H167" s="301">
        <f>SUM(F167/G167)</f>
        <v>6140.1031532340094</v>
      </c>
      <c r="I167" s="302">
        <f>F167/$F$177</f>
        <v>2.9358792934255112E-2</v>
      </c>
      <c r="J167" s="303">
        <f>Calculations!AS37</f>
        <v>48812786.097348109</v>
      </c>
      <c r="K167" s="5">
        <f>E167*1.091947</f>
        <v>9324980.5999779999</v>
      </c>
      <c r="L167" s="5">
        <f>J167+K167</f>
        <v>58137766.697326109</v>
      </c>
      <c r="M167" s="119">
        <v>8356.5</v>
      </c>
      <c r="N167" s="55">
        <f>SUM(L167/M167)</f>
        <v>6957.1910126639277</v>
      </c>
      <c r="O167" s="33">
        <f>L167/$L$177</f>
        <v>3.028713098786795E-2</v>
      </c>
      <c r="P167" s="180">
        <f>SUM(H167*'Front page'!$H$10)+H167</f>
        <v>6447.10831089571</v>
      </c>
      <c r="Q167" s="180">
        <f>MIN(N167,P167)*M167</f>
        <v>53875260.600000001</v>
      </c>
      <c r="R167" s="187"/>
      <c r="S167" s="5">
        <f>L167-F167</f>
        <v>6827994.6973261088</v>
      </c>
      <c r="T167" s="5" t="str">
        <f>IF(S167&lt;0,S167,"")</f>
        <v/>
      </c>
      <c r="U167" s="5">
        <f>SUM(Q167-F167)</f>
        <v>2565488.6000000015</v>
      </c>
      <c r="V167" s="5">
        <f>SUM(Q167-L167)</f>
        <v>-4262506.0973261073</v>
      </c>
      <c r="W167" s="52">
        <f>SUM(S167/F167)</f>
        <v>0.13307396293489882</v>
      </c>
      <c r="X167" s="6">
        <f>SUM(F167*$X$1)+F167</f>
        <v>53875260.600000001</v>
      </c>
      <c r="Y167" s="5">
        <f>MIN(L167,Q167)</f>
        <v>53875260.600000001</v>
      </c>
      <c r="Z167" s="54">
        <f>SUM(Y167-F167)</f>
        <v>2565488.6000000015</v>
      </c>
      <c r="AA167" s="5">
        <f>SUM(Y167-L167)</f>
        <v>-4262506.0973261073</v>
      </c>
      <c r="AB167" s="55">
        <f>SUM(F167*'Front page'!$H$11)+F167</f>
        <v>52849065.159999996</v>
      </c>
      <c r="AC167" s="55">
        <f>MAX(AB167,L167)</f>
        <v>58137766.697326109</v>
      </c>
      <c r="AD167" s="55">
        <f>MAX(Q167,AB167)</f>
        <v>53875260.600000001</v>
      </c>
      <c r="AE167" s="55">
        <f>SUM(AC167-F167)</f>
        <v>6827994.6973261088</v>
      </c>
      <c r="AF167" s="53">
        <f>SUM(AE167/F167)</f>
        <v>0.13307396293489882</v>
      </c>
      <c r="AG167" s="313">
        <f>SUM(AD167-F167)</f>
        <v>2565488.6000000015</v>
      </c>
      <c r="AH167" s="53">
        <f>SUM(AG167/F167)</f>
        <v>5.0000000000000031E-2</v>
      </c>
    </row>
    <row r="168" spans="1:34">
      <c r="A168" t="str">
        <f>RIGHT(C168,3)</f>
        <v>411</v>
      </c>
      <c r="B168">
        <f>A168*1</f>
        <v>411</v>
      </c>
      <c r="C168" s="14" t="s">
        <v>113</v>
      </c>
      <c r="D168" s="299">
        <v>46491686.109999999</v>
      </c>
      <c r="E168" s="299">
        <v>4906492.58</v>
      </c>
      <c r="F168" s="299">
        <f>D168+E168</f>
        <v>51398178.689999998</v>
      </c>
      <c r="G168" s="300">
        <v>9020</v>
      </c>
      <c r="H168" s="301">
        <f>SUM(F168/G168)</f>
        <v>5698.2459745011083</v>
      </c>
      <c r="I168" s="302">
        <f>F168/$F$177</f>
        <v>2.9409378107498774E-2</v>
      </c>
      <c r="J168" s="303">
        <f>Calculations!AS105</f>
        <v>51281398.952583291</v>
      </c>
      <c r="K168" s="5">
        <f>E168*1.091947</f>
        <v>5357629.8532532603</v>
      </c>
      <c r="L168" s="5">
        <f>J168+K168</f>
        <v>56639028.805836551</v>
      </c>
      <c r="M168" s="119">
        <v>9020</v>
      </c>
      <c r="N168" s="55">
        <f>SUM(L168/M168)</f>
        <v>6279.2714862346511</v>
      </c>
      <c r="O168" s="33">
        <f>L168/$L$177</f>
        <v>2.9506356743952713E-2</v>
      </c>
      <c r="P168" s="180">
        <f>SUM(H168*'Front page'!$H$10)+H168</f>
        <v>5983.1582732261641</v>
      </c>
      <c r="Q168" s="180">
        <f>MIN(N168,P168)*M168</f>
        <v>53968087.624499999</v>
      </c>
      <c r="R168" s="187"/>
      <c r="S168" s="5">
        <f>L168-F168</f>
        <v>5240850.1158365533</v>
      </c>
      <c r="T168" s="5" t="str">
        <f>IF(S168&lt;0,S168,"")</f>
        <v/>
      </c>
      <c r="U168" s="5">
        <f>SUM(Q168-F168)</f>
        <v>2569908.9345000014</v>
      </c>
      <c r="V168" s="5">
        <f>SUM(Q168-L168)</f>
        <v>-2670941.1813365519</v>
      </c>
      <c r="W168" s="52">
        <f>SUM(S168/F168)</f>
        <v>0.10196567756701874</v>
      </c>
      <c r="X168" s="6">
        <f>SUM(F168*$X$1)+F168</f>
        <v>53968087.624499999</v>
      </c>
      <c r="Y168" s="5">
        <f>MIN(L168,Q168)</f>
        <v>53968087.624499999</v>
      </c>
      <c r="Z168" s="54">
        <f>SUM(Y168-F168)</f>
        <v>2569908.9345000014</v>
      </c>
      <c r="AA168" s="5">
        <f>SUM(Y168-L168)</f>
        <v>-2670941.1813365519</v>
      </c>
      <c r="AB168" s="55">
        <f>SUM(F168*'Front page'!$H$11)+F168</f>
        <v>52940124.050699994</v>
      </c>
      <c r="AC168" s="55">
        <f>MAX(AB168,L168)</f>
        <v>56639028.805836551</v>
      </c>
      <c r="AD168" s="55">
        <f>MAX(Q168,AB168)</f>
        <v>53968087.624499999</v>
      </c>
      <c r="AE168" s="55">
        <f>SUM(AC168-F168)</f>
        <v>5240850.1158365533</v>
      </c>
      <c r="AF168" s="53">
        <f>SUM(AE168/F168)</f>
        <v>0.10196567756701874</v>
      </c>
      <c r="AG168" s="313">
        <f>SUM(AD168-F168)</f>
        <v>2569908.9345000014</v>
      </c>
      <c r="AH168" s="53">
        <f>SUM(AG168/F168)</f>
        <v>5.0000000000000031E-2</v>
      </c>
    </row>
    <row r="169" spans="1:34">
      <c r="A169" t="str">
        <f>RIGHT(C169,3)</f>
        <v>091</v>
      </c>
      <c r="B169">
        <f>A169*1</f>
        <v>91</v>
      </c>
      <c r="C169" s="14" t="s">
        <v>32</v>
      </c>
      <c r="D169" s="299">
        <v>49629212.129999995</v>
      </c>
      <c r="E169" s="299">
        <v>4910278.6899999995</v>
      </c>
      <c r="F169" s="299">
        <f>D169+E169</f>
        <v>54539490.819999993</v>
      </c>
      <c r="G169" s="300">
        <v>9659.5</v>
      </c>
      <c r="H169" s="301">
        <f>SUM(F169/G169)</f>
        <v>5646.202269268595</v>
      </c>
      <c r="I169" s="302">
        <f>F169/$F$177</f>
        <v>3.120679658689747E-2</v>
      </c>
      <c r="J169" s="303">
        <f>Calculations!AS24</f>
        <v>54201494.390479676</v>
      </c>
      <c r="K169" s="5">
        <f>E169*1.091947</f>
        <v>5361764.0847094292</v>
      </c>
      <c r="L169" s="5">
        <f>J169+K169</f>
        <v>59563258.475189105</v>
      </c>
      <c r="M169" s="119">
        <v>9659.5</v>
      </c>
      <c r="N169" s="55">
        <f>SUM(L169/M169)</f>
        <v>6166.2879522945395</v>
      </c>
      <c r="O169" s="33">
        <f>L169/$L$177</f>
        <v>3.1029747339525141E-2</v>
      </c>
      <c r="P169" s="180">
        <f>SUM(H169*'Front page'!$H$10)+H169</f>
        <v>5928.5123827320249</v>
      </c>
      <c r="Q169" s="180">
        <f>MIN(N169,P169)*M169</f>
        <v>57266465.360999994</v>
      </c>
      <c r="R169" s="187"/>
      <c r="S169" s="5">
        <f>L169-F169</f>
        <v>5023767.6551891118</v>
      </c>
      <c r="T169" s="5" t="str">
        <f>IF(S169&lt;0,S169,"")</f>
        <v/>
      </c>
      <c r="U169" s="5">
        <f>SUM(Q169-F169)</f>
        <v>2726974.5410000011</v>
      </c>
      <c r="V169" s="5">
        <f>SUM(Q169-L169)</f>
        <v>-2296793.1141891107</v>
      </c>
      <c r="W169" s="52">
        <f>SUM(S169/F169)</f>
        <v>9.211247812652594E-2</v>
      </c>
      <c r="X169" s="6">
        <f>SUM(F169*$X$1)+F169</f>
        <v>57266465.360999994</v>
      </c>
      <c r="Y169" s="5">
        <f>MIN(L169,Q169)</f>
        <v>57266465.360999994</v>
      </c>
      <c r="Z169" s="54">
        <f>SUM(Y169-F169)</f>
        <v>2726974.5410000011</v>
      </c>
      <c r="AA169" s="5">
        <f>SUM(Y169-L169)</f>
        <v>-2296793.1141891107</v>
      </c>
      <c r="AB169" s="55">
        <f>SUM(F169*'Front page'!$H$11)+F169</f>
        <v>56175675.544599995</v>
      </c>
      <c r="AC169" s="55">
        <f>MAX(AB169,L169)</f>
        <v>59563258.475189105</v>
      </c>
      <c r="AD169" s="55">
        <f>MAX(Q169,AB169)</f>
        <v>57266465.360999994</v>
      </c>
      <c r="AE169" s="55">
        <f>SUM(AC169-F169)</f>
        <v>5023767.6551891118</v>
      </c>
      <c r="AF169" s="53">
        <f>SUM(AE169/F169)</f>
        <v>9.211247812652594E-2</v>
      </c>
      <c r="AG169" s="313">
        <f>SUM(AD169-F169)</f>
        <v>2726974.5410000011</v>
      </c>
      <c r="AH169" s="53">
        <f>SUM(AG169/F169)</f>
        <v>5.0000000000000031E-2</v>
      </c>
    </row>
    <row r="170" spans="1:34">
      <c r="A170" t="str">
        <f>RIGHT(C170,3)</f>
        <v>271</v>
      </c>
      <c r="B170">
        <f>A170*1</f>
        <v>271</v>
      </c>
      <c r="C170" s="14" t="s">
        <v>73</v>
      </c>
      <c r="D170" s="299">
        <v>52405383</v>
      </c>
      <c r="E170" s="299">
        <v>4266286</v>
      </c>
      <c r="F170" s="299">
        <f>D170+E170</f>
        <v>56671669</v>
      </c>
      <c r="G170" s="300">
        <v>10339</v>
      </c>
      <c r="H170" s="301">
        <f>SUM(F170/G170)</f>
        <v>5481.349163362027</v>
      </c>
      <c r="I170" s="302">
        <f>F170/$F$177</f>
        <v>3.2426801573190472E-2</v>
      </c>
      <c r="J170" s="303">
        <f>Calculations!AS65</f>
        <v>56477799.529943615</v>
      </c>
      <c r="K170" s="5">
        <f>E170*1.091947</f>
        <v>4658558.1988420002</v>
      </c>
      <c r="L170" s="5">
        <f>J170+K170</f>
        <v>61136357.728785619</v>
      </c>
      <c r="M170" s="119">
        <v>10339</v>
      </c>
      <c r="N170" s="55">
        <f>SUM(L170/M170)</f>
        <v>5913.1790046218803</v>
      </c>
      <c r="O170" s="33">
        <f>L170/$L$177</f>
        <v>3.1849260469409203E-2</v>
      </c>
      <c r="P170" s="180">
        <f>SUM(H170*'Front page'!$H$10)+H170</f>
        <v>5755.4166215301284</v>
      </c>
      <c r="Q170" s="180">
        <f>MIN(N170,P170)*M170</f>
        <v>59505252.449999996</v>
      </c>
      <c r="R170" s="187"/>
      <c r="S170" s="5">
        <f>L170-F170</f>
        <v>4464688.7287856191</v>
      </c>
      <c r="T170" s="5" t="str">
        <f>IF(S170&lt;0,S170,"")</f>
        <v/>
      </c>
      <c r="U170" s="5">
        <f>SUM(Q170-F170)</f>
        <v>2833583.4499999955</v>
      </c>
      <c r="V170" s="5">
        <f>SUM(Q170-L170)</f>
        <v>-1631105.2787856236</v>
      </c>
      <c r="W170" s="52">
        <f>SUM(S170/F170)</f>
        <v>7.8781670057848821E-2</v>
      </c>
      <c r="X170" s="6">
        <f>SUM(F170*$X$1)+F170</f>
        <v>59505252.450000003</v>
      </c>
      <c r="Y170" s="5">
        <f>MIN(L170,Q170)</f>
        <v>59505252.449999996</v>
      </c>
      <c r="Z170" s="54">
        <f>SUM(Y170-F170)</f>
        <v>2833583.4499999955</v>
      </c>
      <c r="AA170" s="5">
        <f>SUM(Y170-L170)</f>
        <v>-1631105.2787856236</v>
      </c>
      <c r="AB170" s="55">
        <f>SUM(F170*'Front page'!$H$11)+F170</f>
        <v>58371819.07</v>
      </c>
      <c r="AC170" s="55">
        <f>MAX(AB170,L170)</f>
        <v>61136357.728785619</v>
      </c>
      <c r="AD170" s="55">
        <f>MAX(Q170,AB170)</f>
        <v>59505252.449999996</v>
      </c>
      <c r="AE170" s="55">
        <f>SUM(AC170-F170)</f>
        <v>4464688.7287856191</v>
      </c>
      <c r="AF170" s="53">
        <f>SUM(AE170/F170)</f>
        <v>7.8781670057848821E-2</v>
      </c>
      <c r="AG170" s="313">
        <f>SUM(AD170-F170)</f>
        <v>2833583.4499999955</v>
      </c>
      <c r="AH170" s="53">
        <f>SUM(AG170/F170)</f>
        <v>4.999999999999992E-2</v>
      </c>
    </row>
    <row r="171" spans="1:34">
      <c r="A171" t="str">
        <f>RIGHT(C171,3)</f>
        <v>025</v>
      </c>
      <c r="B171">
        <f>A171*1</f>
        <v>25</v>
      </c>
      <c r="C171" s="14" t="s">
        <v>17</v>
      </c>
      <c r="D171" s="299">
        <v>61179141.420000002</v>
      </c>
      <c r="E171" s="299">
        <v>4915185.1399999997</v>
      </c>
      <c r="F171" s="299">
        <f>D171+E171</f>
        <v>66094326.560000002</v>
      </c>
      <c r="G171" s="300">
        <v>11906</v>
      </c>
      <c r="H171" s="301">
        <f>SUM(F171/G171)</f>
        <v>5551.346091046531</v>
      </c>
      <c r="I171" s="302">
        <f>F171/$F$177</f>
        <v>3.7818325281275426E-2</v>
      </c>
      <c r="J171" s="303">
        <f>Calculations!AS9</f>
        <v>66692542.466906987</v>
      </c>
      <c r="K171" s="5">
        <f>E171*1.091947</f>
        <v>5367121.6680675801</v>
      </c>
      <c r="L171" s="5">
        <f>J171+K171</f>
        <v>72059664.134974569</v>
      </c>
      <c r="M171" s="119">
        <v>11906</v>
      </c>
      <c r="N171" s="55">
        <f>SUM(L171/M171)</f>
        <v>6052.3823395745485</v>
      </c>
      <c r="O171" s="33">
        <f>L171/$L$177</f>
        <v>3.7539806060319862E-2</v>
      </c>
      <c r="P171" s="180">
        <f>SUM(H171*'Front page'!$H$10)+H171</f>
        <v>5828.9133955988573</v>
      </c>
      <c r="Q171" s="180">
        <f>MIN(N171,P171)*M171</f>
        <v>69399042.887999997</v>
      </c>
      <c r="R171" s="187"/>
      <c r="S171" s="5">
        <f>L171-F171</f>
        <v>5965337.5749745667</v>
      </c>
      <c r="T171" s="5" t="str">
        <f>IF(S171&lt;0,S171,"")</f>
        <v/>
      </c>
      <c r="U171" s="5">
        <f>SUM(Q171-F171)</f>
        <v>3304716.3279999942</v>
      </c>
      <c r="V171" s="5">
        <f>SUM(Q171-L171)</f>
        <v>-2660621.2469745725</v>
      </c>
      <c r="W171" s="52">
        <f>SUM(S171/F171)</f>
        <v>9.0254911207231558E-2</v>
      </c>
      <c r="X171" s="6">
        <f>SUM(F171*$X$1)+F171</f>
        <v>69399042.887999997</v>
      </c>
      <c r="Y171" s="5">
        <f>MIN(L171,Q171)</f>
        <v>69399042.887999997</v>
      </c>
      <c r="Z171" s="54">
        <f>SUM(Y171-F171)</f>
        <v>3304716.3279999942</v>
      </c>
      <c r="AA171" s="5">
        <f>SUM(Y171-L171)</f>
        <v>-2660621.2469745725</v>
      </c>
      <c r="AB171" s="55">
        <f>SUM(F171*'Front page'!$H$11)+F171</f>
        <v>68077156.356800005</v>
      </c>
      <c r="AC171" s="55">
        <f>MAX(AB171,L171)</f>
        <v>72059664.134974569</v>
      </c>
      <c r="AD171" s="55">
        <f>MAX(Q171,AB171)</f>
        <v>69399042.887999997</v>
      </c>
      <c r="AE171" s="55">
        <f>SUM(AC171-F171)</f>
        <v>5965337.5749745667</v>
      </c>
      <c r="AF171" s="53">
        <f>SUM(AE171/F171)</f>
        <v>9.0254911207231558E-2</v>
      </c>
      <c r="AG171" s="313">
        <f>SUM(AD171-F171)</f>
        <v>3304716.3279999942</v>
      </c>
      <c r="AH171" s="53">
        <f>SUM(AG171/F171)</f>
        <v>4.9999999999999913E-2</v>
      </c>
    </row>
    <row r="172" spans="1:34">
      <c r="A172" t="str">
        <f>RIGHT(C172,3)</f>
        <v>093</v>
      </c>
      <c r="B172">
        <f>A172*1</f>
        <v>93</v>
      </c>
      <c r="C172" s="14" t="s">
        <v>34</v>
      </c>
      <c r="D172" s="299">
        <v>59629452.390000001</v>
      </c>
      <c r="E172" s="299">
        <v>7366931.6699999999</v>
      </c>
      <c r="F172" s="299">
        <f>D172+E172</f>
        <v>66996384.060000002</v>
      </c>
      <c r="G172" s="300">
        <v>11961</v>
      </c>
      <c r="H172" s="301">
        <f>SUM(F172/G172)</f>
        <v>5601.2360220717337</v>
      </c>
      <c r="I172" s="302">
        <f>F172/$F$177</f>
        <v>3.8334471004107556E-2</v>
      </c>
      <c r="J172" s="303">
        <f>Calculations!AS26</f>
        <v>67366723.24691999</v>
      </c>
      <c r="K172" s="5">
        <f>E172*1.091947</f>
        <v>8044298.93626149</v>
      </c>
      <c r="L172" s="5">
        <f>J172+K172</f>
        <v>75411022.18318148</v>
      </c>
      <c r="M172" s="119">
        <v>11961</v>
      </c>
      <c r="N172" s="55">
        <f>SUM(L172/M172)</f>
        <v>6304.742260946533</v>
      </c>
      <c r="O172" s="33">
        <f>L172/$L$177</f>
        <v>3.928571110551584E-2</v>
      </c>
      <c r="P172" s="180">
        <f>SUM(H172*'Front page'!$H$10)+H172</f>
        <v>5881.2978231753204</v>
      </c>
      <c r="Q172" s="180">
        <f>MIN(N172,P172)*M172</f>
        <v>70346203.263000011</v>
      </c>
      <c r="R172" s="187"/>
      <c r="S172" s="5">
        <f>L172-F172</f>
        <v>8414638.1231814772</v>
      </c>
      <c r="T172" s="5" t="str">
        <f>IF(S172&lt;0,S172,"")</f>
        <v/>
      </c>
      <c r="U172" s="5">
        <f>SUM(Q172-F172)</f>
        <v>3349819.2030000091</v>
      </c>
      <c r="V172" s="5">
        <f>SUM(Q172-L172)</f>
        <v>-5064818.9201814681</v>
      </c>
      <c r="W172" s="52">
        <f>SUM(S172/F172)</f>
        <v>0.12559839223032654</v>
      </c>
      <c r="X172" s="6">
        <f>SUM(F172*$X$1)+F172</f>
        <v>70346203.262999997</v>
      </c>
      <c r="Y172" s="5">
        <f>MIN(L172,Q172)</f>
        <v>70346203.263000011</v>
      </c>
      <c r="Z172" s="54">
        <f>SUM(Y172-F172)</f>
        <v>3349819.2030000091</v>
      </c>
      <c r="AA172" s="5">
        <f>SUM(Y172-L172)</f>
        <v>-5064818.9201814681</v>
      </c>
      <c r="AB172" s="55">
        <f>SUM(F172*'Front page'!$H$11)+F172</f>
        <v>69006275.581799999</v>
      </c>
      <c r="AC172" s="55">
        <f>MAX(AB172,L172)</f>
        <v>75411022.18318148</v>
      </c>
      <c r="AD172" s="55">
        <f>MAX(Q172,AB172)</f>
        <v>70346203.263000011</v>
      </c>
      <c r="AE172" s="55">
        <f>SUM(AC172-F172)</f>
        <v>8414638.1231814772</v>
      </c>
      <c r="AF172" s="53">
        <f>SUM(AE172/F172)</f>
        <v>0.12559839223032654</v>
      </c>
      <c r="AG172" s="313">
        <f>SUM(AD172-F172)</f>
        <v>3349819.2030000091</v>
      </c>
      <c r="AH172" s="53">
        <f>SUM(AG172/F172)</f>
        <v>5.0000000000000135E-2</v>
      </c>
    </row>
    <row r="173" spans="1:34">
      <c r="A173" t="str">
        <f>RIGHT(C173,3)</f>
        <v>131</v>
      </c>
      <c r="B173">
        <f>A173*1</f>
        <v>131</v>
      </c>
      <c r="C173" s="14" t="s">
        <v>38</v>
      </c>
      <c r="D173" s="299">
        <v>69615086.549999997</v>
      </c>
      <c r="E173" s="299">
        <v>10525891.67</v>
      </c>
      <c r="F173" s="299">
        <f>D173+E173</f>
        <v>80140978.219999999</v>
      </c>
      <c r="G173" s="300">
        <v>13569</v>
      </c>
      <c r="H173" s="301">
        <f>SUM(F173/G173)</f>
        <v>5906.181606603287</v>
      </c>
      <c r="I173" s="302">
        <f>F173/$F$177</f>
        <v>4.5855639060521043E-2</v>
      </c>
      <c r="J173" s="303">
        <f>Calculations!AS30</f>
        <v>75745883.338610157</v>
      </c>
      <c r="K173" s="5">
        <f>E173*1.091947</f>
        <v>11493715.83138149</v>
      </c>
      <c r="L173" s="5">
        <f>J173+K173</f>
        <v>87239599.169991642</v>
      </c>
      <c r="M173" s="119">
        <v>13569</v>
      </c>
      <c r="N173" s="55">
        <f>SUM(L173/M173)</f>
        <v>6429.3315034263132</v>
      </c>
      <c r="O173" s="33">
        <f>L173/$L$177</f>
        <v>4.5447861476112662E-2</v>
      </c>
      <c r="P173" s="180">
        <f>SUM(H173*'Front page'!$H$10)+H173</f>
        <v>6201.4906869334518</v>
      </c>
      <c r="Q173" s="180">
        <f>MIN(N173,P173)*M173</f>
        <v>84148027.131000012</v>
      </c>
      <c r="R173" s="187"/>
      <c r="S173" s="5">
        <f>L173-F173</f>
        <v>7098620.9499916434</v>
      </c>
      <c r="T173" s="5" t="str">
        <f>IF(S173&lt;0,S173,"")</f>
        <v/>
      </c>
      <c r="U173" s="5">
        <f>SUM(Q173-F173)</f>
        <v>4007048.9110000134</v>
      </c>
      <c r="V173" s="5">
        <f>SUM(Q173-L173)</f>
        <v>-3091572.0389916301</v>
      </c>
      <c r="W173" s="52">
        <f>SUM(S173/F173)</f>
        <v>8.857666960970674E-2</v>
      </c>
      <c r="X173" s="6">
        <f>SUM(F173*$X$1)+F173</f>
        <v>84148027.130999997</v>
      </c>
      <c r="Y173" s="5">
        <f>MIN(L173,Q173)</f>
        <v>84148027.131000012</v>
      </c>
      <c r="Z173" s="54">
        <f>SUM(Y173-F173)</f>
        <v>4007048.9110000134</v>
      </c>
      <c r="AA173" s="5">
        <f>SUM(Y173-L173)</f>
        <v>-3091572.0389916301</v>
      </c>
      <c r="AB173" s="55">
        <f>SUM(F173*'Front page'!$H$11)+F173</f>
        <v>82545207.566599995</v>
      </c>
      <c r="AC173" s="55">
        <f>MAX(AB173,L173)</f>
        <v>87239599.169991642</v>
      </c>
      <c r="AD173" s="55">
        <f>MAX(Q173,AB173)</f>
        <v>84148027.131000012</v>
      </c>
      <c r="AE173" s="55">
        <f>SUM(AC173-F173)</f>
        <v>7098620.9499916434</v>
      </c>
      <c r="AF173" s="53">
        <f>SUM(AE173/F173)</f>
        <v>8.857666960970674E-2</v>
      </c>
      <c r="AG173" s="313">
        <f>SUM(AD173-F173)</f>
        <v>4007048.9110000134</v>
      </c>
      <c r="AH173" s="53">
        <f>SUM(AG173/F173)</f>
        <v>5.0000000000000169E-2</v>
      </c>
    </row>
    <row r="174" spans="1:34">
      <c r="A174" t="str">
        <f>RIGHT(C174,3)</f>
        <v>001</v>
      </c>
      <c r="B174">
        <f>A174*1</f>
        <v>1</v>
      </c>
      <c r="C174" s="14" t="s">
        <v>11</v>
      </c>
      <c r="D174" s="299">
        <v>130783437.73999999</v>
      </c>
      <c r="E174" s="299">
        <v>12681046.119999999</v>
      </c>
      <c r="F174" s="299">
        <f>D174+E174</f>
        <v>143464483.85999998</v>
      </c>
      <c r="G174" s="300">
        <v>24903.5</v>
      </c>
      <c r="H174" s="301">
        <f>SUM(F174/G174)</f>
        <v>5760.8161045636152</v>
      </c>
      <c r="I174" s="302">
        <f>F174/$F$177</f>
        <v>8.2088536177193E-2</v>
      </c>
      <c r="J174" s="303">
        <f>Calculations!AS3</f>
        <v>136875266.19449478</v>
      </c>
      <c r="K174" s="5">
        <f>E174*1.091947</f>
        <v>13847030.267595639</v>
      </c>
      <c r="L174" s="5">
        <f>J174+K174</f>
        <v>150722296.46209043</v>
      </c>
      <c r="M174" s="119">
        <v>24903.5</v>
      </c>
      <c r="N174" s="55">
        <f>SUM(L174/M174)</f>
        <v>6052.2535572144652</v>
      </c>
      <c r="O174" s="33">
        <f>L174/$L$177</f>
        <v>7.8519458091766567E-2</v>
      </c>
      <c r="P174" s="180">
        <f>SUM(H174*'Front page'!$H$10)+H174</f>
        <v>6048.8569097917962</v>
      </c>
      <c r="Q174" s="180">
        <f>MIN(N174,P174)*M174</f>
        <v>150637708.053</v>
      </c>
      <c r="R174" s="187"/>
      <c r="S174" s="5">
        <f>L174-F174</f>
        <v>7257812.6020904481</v>
      </c>
      <c r="T174" s="5" t="str">
        <f>IF(S174&lt;0,S174,"")</f>
        <v/>
      </c>
      <c r="U174" s="5">
        <f>SUM(Q174-F174)</f>
        <v>7173224.1930000186</v>
      </c>
      <c r="V174" s="5">
        <f>SUM(Q174-L174)</f>
        <v>-84588.409090429544</v>
      </c>
      <c r="W174" s="52">
        <f>SUM(S174/F174)</f>
        <v>5.0589612194004714E-2</v>
      </c>
      <c r="X174" s="6">
        <f>SUM(F174*$X$1)+F174</f>
        <v>150637708.05299997</v>
      </c>
      <c r="Y174" s="5">
        <f>MIN(L174,Q174)</f>
        <v>150637708.053</v>
      </c>
      <c r="Z174" s="54">
        <f>SUM(Y174-F174)</f>
        <v>7173224.1930000186</v>
      </c>
      <c r="AA174" s="5">
        <f>SUM(Y174-L174)</f>
        <v>-84588.409090429544</v>
      </c>
      <c r="AB174" s="55">
        <f>SUM(F174*'Front page'!$H$11)+F174</f>
        <v>147768418.37579998</v>
      </c>
      <c r="AC174" s="55">
        <f>MAX(AB174,L174)</f>
        <v>150722296.46209043</v>
      </c>
      <c r="AD174" s="55">
        <f>MAX(Q174,AB174)</f>
        <v>150637708.053</v>
      </c>
      <c r="AE174" s="55">
        <f>SUM(AC174-F174)</f>
        <v>7257812.6020904481</v>
      </c>
      <c r="AF174" s="53">
        <f>SUM(AE174/F174)</f>
        <v>5.0589612194004714E-2</v>
      </c>
      <c r="AG174" s="313">
        <f>SUM(AD174-F174)</f>
        <v>7173224.1930000186</v>
      </c>
      <c r="AH174" s="53">
        <f>SUM(AG174/F174)</f>
        <v>5.0000000000000135E-2</v>
      </c>
    </row>
    <row r="175" spans="1:34">
      <c r="A175" t="str">
        <f>RIGHT(C175,3)</f>
        <v>002</v>
      </c>
      <c r="B175">
        <f>A175*1</f>
        <v>2</v>
      </c>
      <c r="C175" s="14" t="s">
        <v>12</v>
      </c>
      <c r="D175" s="299">
        <v>192634176</v>
      </c>
      <c r="E175" s="299">
        <v>18628750</v>
      </c>
      <c r="F175" s="299">
        <f>D175+E175</f>
        <v>211262926</v>
      </c>
      <c r="G175" s="300">
        <v>37280.5</v>
      </c>
      <c r="H175" s="301">
        <f>SUM(F175/G175)</f>
        <v>5666.8479768243451</v>
      </c>
      <c r="I175" s="302">
        <f>F175/$F$177</f>
        <v>0.12088193451958548</v>
      </c>
      <c r="J175" s="303">
        <f>Calculations!AS4</f>
        <v>204720245.60797352</v>
      </c>
      <c r="K175" s="5">
        <f>E175*1.091947</f>
        <v>20341607.67625</v>
      </c>
      <c r="L175" s="5">
        <f>J175+K175</f>
        <v>225061853.28422353</v>
      </c>
      <c r="M175" s="119">
        <v>37280.5</v>
      </c>
      <c r="N175" s="55">
        <f>SUM(L175/M175)</f>
        <v>6036.9859117829301</v>
      </c>
      <c r="O175" s="33">
        <f>L175/$L$177</f>
        <v>0.11724698449940806</v>
      </c>
      <c r="P175" s="180">
        <f>SUM(H175*'Front page'!$H$10)+H175</f>
        <v>5950.190375665562</v>
      </c>
      <c r="Q175" s="180">
        <f>MIN(N175,P175)*M175</f>
        <v>221826072.29999998</v>
      </c>
      <c r="R175" s="187"/>
      <c r="S175" s="5">
        <f>L175-F175</f>
        <v>13798927.284223527</v>
      </c>
      <c r="T175" s="5" t="str">
        <f>IF(S175&lt;0,S175,"")</f>
        <v/>
      </c>
      <c r="U175" s="5">
        <f>SUM(Q175-F175)</f>
        <v>10563146.299999982</v>
      </c>
      <c r="V175" s="5">
        <f>SUM(Q175-L175)</f>
        <v>-3235780.9842235446</v>
      </c>
      <c r="W175" s="52">
        <f>SUM(S175/F175)</f>
        <v>6.5316369253654694E-2</v>
      </c>
      <c r="X175" s="6">
        <f>SUM(F175*$X$1)+F175</f>
        <v>221826072.30000001</v>
      </c>
      <c r="Y175" s="5">
        <f>MIN(L175,Q175)</f>
        <v>221826072.29999998</v>
      </c>
      <c r="Z175" s="54">
        <f>SUM(Y175-F175)</f>
        <v>10563146.299999982</v>
      </c>
      <c r="AA175" s="5">
        <f>SUM(Y175-L175)</f>
        <v>-3235780.9842235446</v>
      </c>
      <c r="AB175" s="55">
        <f>SUM(F175*'Front page'!$H$11)+F175</f>
        <v>217600813.78</v>
      </c>
      <c r="AC175" s="55">
        <f>MAX(AB175,L175)</f>
        <v>225061853.28422353</v>
      </c>
      <c r="AD175" s="55">
        <f>MAX(Q175,AB175)</f>
        <v>221826072.29999998</v>
      </c>
      <c r="AE175" s="55">
        <f>SUM(AC175-F175)</f>
        <v>13798927.284223527</v>
      </c>
      <c r="AF175" s="53">
        <f>SUM(AE175/F175)</f>
        <v>6.5316369253654694E-2</v>
      </c>
      <c r="AG175" s="313">
        <f>SUM(AD175-F175)</f>
        <v>10563146.299999982</v>
      </c>
      <c r="AH175" s="53">
        <f>SUM(AG175/F175)</f>
        <v>4.9999999999999913E-2</v>
      </c>
    </row>
    <row r="177" spans="4:33">
      <c r="D177" s="299">
        <f>SUM(D3:D175)</f>
        <v>1563369527.3700001</v>
      </c>
      <c r="E177" s="299">
        <f>SUM(E3:E176)</f>
        <v>184310362.42999995</v>
      </c>
      <c r="F177" s="304">
        <f>SUM(F3:F175)</f>
        <v>1747679889.8000002</v>
      </c>
      <c r="G177" s="320">
        <f>SUM(G3:G175)</f>
        <v>288695</v>
      </c>
      <c r="H177" s="301">
        <f t="shared" ref="H177" si="0">SUM(F177/G177)</f>
        <v>6053.7241372382623</v>
      </c>
      <c r="I177" s="321">
        <f>SUM(I3:I175)</f>
        <v>1</v>
      </c>
      <c r="J177" s="299">
        <f>SUM(J3:J176)</f>
        <v>1716696300.0000005</v>
      </c>
      <c r="K177" s="7">
        <f>SUM(K3:K175)</f>
        <v>202857147.32435122</v>
      </c>
      <c r="L177" s="7">
        <f>SUM(L3:L176)</f>
        <v>1919553447.3243513</v>
      </c>
      <c r="M177" s="120">
        <f>SUM(M3:M175)</f>
        <v>289240</v>
      </c>
      <c r="N177" s="55">
        <f t="shared" ref="N177" si="1">SUM(L177/M177)</f>
        <v>6636.5421356809265</v>
      </c>
      <c r="O177" s="65">
        <f>SUM(O3:O176)</f>
        <v>0.99999999999999967</v>
      </c>
      <c r="P177" s="65"/>
      <c r="Q177" s="7">
        <f>SUM(Q3:Q176)</f>
        <v>1830334774.4954612</v>
      </c>
      <c r="R177" s="188"/>
      <c r="S177" s="7">
        <f>SUM(S3:S176)</f>
        <v>171873557.52435124</v>
      </c>
      <c r="T177" s="7">
        <f>SUM(T3:T176)*-1</f>
        <v>471068.47437958291</v>
      </c>
      <c r="U177" s="7">
        <f>SUM(U3:U175)</f>
        <v>82654884.695461243</v>
      </c>
      <c r="V177" s="7">
        <f>SUM(V3:V175)</f>
        <v>-89218672.828889996</v>
      </c>
      <c r="X177" s="6"/>
      <c r="Y177" s="6">
        <f>SUM(Y3:Y175)</f>
        <v>1830334774.4954612</v>
      </c>
      <c r="Z177" s="55">
        <f>SUM(Z3:Z176)</f>
        <v>82654884.695461243</v>
      </c>
      <c r="AA177" s="55">
        <f>SUM(AA3:AA176)</f>
        <v>-89218672.828889996</v>
      </c>
      <c r="AB177" s="55">
        <f>SUM(AB3:AB175)</f>
        <v>1800110286.4940002</v>
      </c>
      <c r="AC177" s="55">
        <f>SUM(AC3:AC175)</f>
        <v>1921858617.0088522</v>
      </c>
      <c r="AD177" s="55">
        <f>SUM(AD3:AD175)</f>
        <v>1832639944.1799622</v>
      </c>
      <c r="AE177" s="55">
        <f>SUM(AE3:AE175)</f>
        <v>174178727.20885199</v>
      </c>
      <c r="AF177" s="55"/>
      <c r="AG177" s="55">
        <f>SUM(AG3:AG175)</f>
        <v>84960054.379961997</v>
      </c>
    </row>
    <row r="178" spans="4:33">
      <c r="Q178" s="82">
        <f>SUM(Q177-F177)</f>
        <v>82654884.695461035</v>
      </c>
      <c r="T178" s="55">
        <f>SUM(T177,AA177)</f>
        <v>-88747604.354510412</v>
      </c>
      <c r="Y178" s="6">
        <f>SUM(Y177-F177)</f>
        <v>82654884.695461035</v>
      </c>
      <c r="AA178" s="7">
        <f>SUM(T177+AA177)</f>
        <v>-88747604.354510412</v>
      </c>
      <c r="AC178" s="55">
        <f>SUM(AC177-L177)</f>
        <v>2305169.6845009327</v>
      </c>
      <c r="AD178" s="55">
        <f>SUM(AD177-L177)</f>
        <v>-86913503.144389153</v>
      </c>
    </row>
    <row r="179" spans="4:33">
      <c r="D179" s="299"/>
      <c r="E179" s="299"/>
    </row>
    <row r="181" spans="4:33">
      <c r="D181" s="299"/>
      <c r="E181" s="299"/>
    </row>
  </sheetData>
  <autoFilter ref="A2:AH175">
    <sortState ref="A3:AH175">
      <sortCondition ref="U2:U175"/>
    </sortState>
  </autoFilter>
  <sortState ref="A3:Z175">
    <sortCondition ref="W3:W175"/>
  </sortState>
  <mergeCells count="1">
    <mergeCell ref="J1:L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140" zoomScaleNormal="140" workbookViewId="0">
      <pane ySplit="1" topLeftCell="A20" activePane="bottomLeft" state="frozen"/>
      <selection pane="bottomLeft" activeCell="F30" sqref="F30"/>
    </sheetView>
  </sheetViews>
  <sheetFormatPr defaultColWidth="11.42578125" defaultRowHeight="15"/>
  <cols>
    <col min="1" max="1" width="15.5703125" customWidth="1"/>
    <col min="2" max="2" width="38.7109375" customWidth="1"/>
    <col min="3" max="4" width="20.7109375" customWidth="1"/>
    <col min="5" max="5" width="15.7109375" customWidth="1"/>
    <col min="6" max="6" width="20.7109375" customWidth="1"/>
    <col min="7" max="7" width="14.42578125" customWidth="1"/>
  </cols>
  <sheetData>
    <row r="1" spans="1:6" ht="34.5" customHeight="1">
      <c r="A1" s="356"/>
      <c r="B1" s="357"/>
      <c r="C1" s="282" t="s">
        <v>829</v>
      </c>
      <c r="D1" s="282" t="s">
        <v>830</v>
      </c>
      <c r="E1" s="291" t="s">
        <v>836</v>
      </c>
      <c r="F1" s="282" t="s">
        <v>876</v>
      </c>
    </row>
    <row r="2" spans="1:6" ht="17.25">
      <c r="A2" s="358" t="s">
        <v>831</v>
      </c>
      <c r="B2" s="358"/>
      <c r="C2" s="283">
        <v>2140615100</v>
      </c>
      <c r="D2" s="283">
        <v>2264011800</v>
      </c>
      <c r="E2" s="292">
        <f>SUM(D2-C2)/C2</f>
        <v>5.7645440322269988E-2</v>
      </c>
      <c r="F2" s="264">
        <f>SUM(D2-C2)</f>
        <v>123396700</v>
      </c>
    </row>
    <row r="3" spans="1:6" ht="17.25" customHeight="1">
      <c r="A3" s="359" t="s">
        <v>851</v>
      </c>
      <c r="B3" s="360"/>
      <c r="C3" s="284">
        <v>264338500</v>
      </c>
      <c r="D3" s="284">
        <v>264338500</v>
      </c>
      <c r="E3" s="292">
        <f>SUM(D3-C3)/C3</f>
        <v>0</v>
      </c>
      <c r="F3" s="264">
        <f>SUM(D3-C3)</f>
        <v>0</v>
      </c>
    </row>
    <row r="4" spans="1:6" ht="85.5" customHeight="1">
      <c r="A4" s="355" t="s">
        <v>852</v>
      </c>
      <c r="B4" s="355"/>
      <c r="C4" s="285">
        <f>SUM(C2-C3)</f>
        <v>1876276600</v>
      </c>
      <c r="D4" s="285">
        <f>SUM(D2-D3)</f>
        <v>1999673300</v>
      </c>
      <c r="E4" s="293">
        <f>SUM(D4-C4)/C4</f>
        <v>6.576679579119625E-2</v>
      </c>
      <c r="F4" s="265">
        <f>SUM(D4-C4)</f>
        <v>123396700</v>
      </c>
    </row>
    <row r="5" spans="1:6" ht="17.25">
      <c r="A5" s="273"/>
      <c r="B5" s="278"/>
      <c r="C5" s="278"/>
      <c r="D5" s="278"/>
      <c r="E5" s="294"/>
      <c r="F5" s="278"/>
    </row>
    <row r="6" spans="1:6" ht="90.75" customHeight="1">
      <c r="A6" s="274" t="s">
        <v>853</v>
      </c>
      <c r="B6" s="361" t="s">
        <v>872</v>
      </c>
      <c r="C6" s="362"/>
      <c r="D6" s="362"/>
      <c r="E6" s="362"/>
      <c r="F6" s="363"/>
    </row>
    <row r="7" spans="1:6" ht="17.25">
      <c r="A7" s="275" t="s">
        <v>854</v>
      </c>
      <c r="B7" s="279" t="s">
        <v>330</v>
      </c>
      <c r="C7" s="286">
        <v>73010000</v>
      </c>
      <c r="D7" s="290">
        <v>75334700</v>
      </c>
      <c r="E7" s="295">
        <f>SUM(D7-C7)/C7</f>
        <v>3.1840843720038349E-2</v>
      </c>
      <c r="F7" s="290">
        <f t="shared" ref="F7:F26" si="0">SUM(D7-C7)</f>
        <v>2324700</v>
      </c>
    </row>
    <row r="8" spans="1:6" ht="17.25">
      <c r="A8" s="275" t="s">
        <v>855</v>
      </c>
      <c r="B8" s="279" t="s">
        <v>336</v>
      </c>
      <c r="C8" s="286">
        <v>1200000</v>
      </c>
      <c r="D8" s="290">
        <f>SUM(C8*E8)+C8</f>
        <v>1200000</v>
      </c>
      <c r="E8" s="295">
        <v>0</v>
      </c>
      <c r="F8" s="290">
        <f t="shared" si="0"/>
        <v>0</v>
      </c>
    </row>
    <row r="9" spans="1:6" ht="17.25">
      <c r="A9" s="275" t="s">
        <v>856</v>
      </c>
      <c r="B9" s="279" t="s">
        <v>834</v>
      </c>
      <c r="C9" s="286">
        <v>5390900</v>
      </c>
      <c r="D9" s="290">
        <v>5761000</v>
      </c>
      <c r="E9" s="295">
        <v>0</v>
      </c>
      <c r="F9" s="290">
        <f t="shared" si="0"/>
        <v>370100</v>
      </c>
    </row>
    <row r="10" spans="1:6" ht="17.25">
      <c r="A10" s="275" t="s">
        <v>857</v>
      </c>
      <c r="B10" s="279" t="s">
        <v>331</v>
      </c>
      <c r="C10" s="286">
        <v>23184500</v>
      </c>
      <c r="D10" s="290">
        <v>23387900</v>
      </c>
      <c r="E10" s="295">
        <f>SUM(D10-C10)/C10</f>
        <v>8.7731027194893133E-3</v>
      </c>
      <c r="F10" s="290">
        <f t="shared" si="0"/>
        <v>203400</v>
      </c>
    </row>
    <row r="11" spans="1:6" ht="17.25">
      <c r="A11" s="275" t="s">
        <v>858</v>
      </c>
      <c r="B11" s="279" t="s">
        <v>335</v>
      </c>
      <c r="C11" s="286">
        <v>4024900</v>
      </c>
      <c r="D11" s="290">
        <f>SUM(C11*E11)+C11</f>
        <v>4024900</v>
      </c>
      <c r="E11" s="295">
        <v>0</v>
      </c>
      <c r="F11" s="290">
        <f t="shared" si="0"/>
        <v>0</v>
      </c>
    </row>
    <row r="12" spans="1:6" ht="17.25">
      <c r="A12" s="275" t="s">
        <v>859</v>
      </c>
      <c r="B12" s="279" t="s">
        <v>813</v>
      </c>
      <c r="C12" s="287">
        <v>15000000</v>
      </c>
      <c r="D12" s="290">
        <v>18000000</v>
      </c>
      <c r="E12" s="295">
        <f>SUM(D12-C12)/C12</f>
        <v>0.2</v>
      </c>
      <c r="F12" s="290">
        <f t="shared" si="0"/>
        <v>3000000</v>
      </c>
    </row>
    <row r="13" spans="1:6" ht="17.25">
      <c r="A13" s="275" t="s">
        <v>860</v>
      </c>
      <c r="B13" s="279" t="s">
        <v>334</v>
      </c>
      <c r="C13" s="286">
        <v>90000</v>
      </c>
      <c r="D13" s="290">
        <f>SUM(C13*E13)+C13</f>
        <v>90000</v>
      </c>
      <c r="E13" s="295">
        <v>0</v>
      </c>
      <c r="F13" s="290">
        <f t="shared" si="0"/>
        <v>0</v>
      </c>
    </row>
    <row r="14" spans="1:6" ht="51.75">
      <c r="A14" s="275" t="s">
        <v>861</v>
      </c>
      <c r="B14" s="280" t="s">
        <v>873</v>
      </c>
      <c r="C14" s="286">
        <f>18562500+3905000</f>
        <v>22467500</v>
      </c>
      <c r="D14" s="290">
        <f>22842500+4101000</f>
        <v>26943500</v>
      </c>
      <c r="E14" s="295">
        <f>SUM(D14-C14)/C14</f>
        <v>0.19922109714031377</v>
      </c>
      <c r="F14" s="290">
        <f t="shared" si="0"/>
        <v>4476000</v>
      </c>
    </row>
    <row r="15" spans="1:6" ht="17.25">
      <c r="A15" s="275" t="s">
        <v>862</v>
      </c>
      <c r="B15" s="279" t="s">
        <v>332</v>
      </c>
      <c r="C15" s="286">
        <v>7893700</v>
      </c>
      <c r="D15" s="290">
        <v>8840000</v>
      </c>
      <c r="E15" s="295">
        <f>SUM(D15-C15)/C15</f>
        <v>0.11988041096063949</v>
      </c>
      <c r="F15" s="290">
        <f t="shared" si="0"/>
        <v>946300</v>
      </c>
    </row>
    <row r="16" spans="1:6" ht="17.25">
      <c r="A16" s="275" t="s">
        <v>863</v>
      </c>
      <c r="B16" s="281" t="s">
        <v>814</v>
      </c>
      <c r="C16" s="288">
        <v>0</v>
      </c>
      <c r="D16" s="290">
        <v>7175400</v>
      </c>
      <c r="E16" s="295">
        <v>0</v>
      </c>
      <c r="F16" s="290">
        <f t="shared" si="0"/>
        <v>7175400</v>
      </c>
    </row>
    <row r="17" spans="1:7" ht="17.25">
      <c r="A17" s="275" t="s">
        <v>864</v>
      </c>
      <c r="B17" s="279" t="s">
        <v>333</v>
      </c>
      <c r="C17" s="286">
        <v>17773600</v>
      </c>
      <c r="D17" s="290">
        <v>18400700</v>
      </c>
      <c r="E17" s="295">
        <f>SUM(D17-C17)/C17</f>
        <v>3.5282666426610251E-2</v>
      </c>
      <c r="F17" s="290">
        <f t="shared" si="0"/>
        <v>627100</v>
      </c>
    </row>
    <row r="18" spans="1:7" ht="17.25">
      <c r="A18" s="275" t="s">
        <v>865</v>
      </c>
      <c r="B18" s="281" t="s">
        <v>817</v>
      </c>
      <c r="C18" s="288">
        <v>1400000</v>
      </c>
      <c r="D18" s="290">
        <v>1400000</v>
      </c>
      <c r="E18" s="295">
        <v>0</v>
      </c>
      <c r="F18" s="290">
        <f t="shared" si="0"/>
        <v>0</v>
      </c>
    </row>
    <row r="19" spans="1:7" ht="17.25">
      <c r="A19" s="275" t="s">
        <v>866</v>
      </c>
      <c r="B19" s="281" t="s">
        <v>874</v>
      </c>
      <c r="C19" s="288">
        <v>36500000</v>
      </c>
      <c r="D19" s="290">
        <f>SUM(C19*E19)+C19</f>
        <v>36500000</v>
      </c>
      <c r="E19" s="295">
        <v>0</v>
      </c>
      <c r="F19" s="290">
        <f t="shared" si="0"/>
        <v>0</v>
      </c>
    </row>
    <row r="20" spans="1:7" ht="17.25">
      <c r="A20" s="275" t="s">
        <v>867</v>
      </c>
      <c r="B20" s="281" t="s">
        <v>827</v>
      </c>
      <c r="C20" s="288">
        <v>652000</v>
      </c>
      <c r="D20" s="290">
        <v>652000</v>
      </c>
      <c r="E20" s="295">
        <v>0</v>
      </c>
      <c r="F20" s="290">
        <f t="shared" si="0"/>
        <v>0</v>
      </c>
    </row>
    <row r="21" spans="1:7" ht="51.75">
      <c r="A21" s="275" t="s">
        <v>868</v>
      </c>
      <c r="B21" s="281" t="s">
        <v>875</v>
      </c>
      <c r="C21" s="288">
        <v>0</v>
      </c>
      <c r="D21" s="290">
        <v>0</v>
      </c>
      <c r="E21" s="295">
        <v>0</v>
      </c>
      <c r="F21" s="290">
        <f t="shared" si="0"/>
        <v>0</v>
      </c>
    </row>
    <row r="22" spans="1:7" ht="17.25">
      <c r="A22" s="276" t="s">
        <v>869</v>
      </c>
      <c r="B22" s="281" t="s">
        <v>838</v>
      </c>
      <c r="C22" s="288">
        <v>150000</v>
      </c>
      <c r="D22" s="290">
        <v>0</v>
      </c>
      <c r="E22" s="295">
        <v>0</v>
      </c>
      <c r="F22" s="290">
        <f t="shared" si="0"/>
        <v>-150000</v>
      </c>
    </row>
    <row r="23" spans="1:7" ht="17.25" customHeight="1">
      <c r="A23" s="352" t="s">
        <v>870</v>
      </c>
      <c r="B23" s="281" t="s">
        <v>815</v>
      </c>
      <c r="C23" s="288">
        <f>7023000+3956400</f>
        <v>10979400</v>
      </c>
      <c r="D23" s="288">
        <f>7410600+4129400</f>
        <v>11540000</v>
      </c>
      <c r="E23" s="295">
        <f>SUM(D23-C23)/C23</f>
        <v>5.1059256425669892E-2</v>
      </c>
      <c r="F23" s="290">
        <f t="shared" si="0"/>
        <v>560600</v>
      </c>
    </row>
    <row r="24" spans="1:7" ht="17.25">
      <c r="A24" s="353"/>
      <c r="B24" s="279" t="s">
        <v>826</v>
      </c>
      <c r="C24" s="286">
        <v>9788500</v>
      </c>
      <c r="D24" s="290">
        <v>11854200</v>
      </c>
      <c r="E24" s="295">
        <f>SUM(D24-C24)/C24</f>
        <v>0.21103335546815141</v>
      </c>
      <c r="F24" s="290">
        <f t="shared" si="0"/>
        <v>2065700</v>
      </c>
    </row>
    <row r="25" spans="1:7" ht="17.25">
      <c r="A25" s="353"/>
      <c r="B25" s="281" t="s">
        <v>816</v>
      </c>
      <c r="C25" s="288">
        <v>1600000</v>
      </c>
      <c r="D25" s="288">
        <v>1600000</v>
      </c>
      <c r="E25" s="295">
        <v>0</v>
      </c>
      <c r="F25" s="290">
        <f t="shared" si="0"/>
        <v>0</v>
      </c>
    </row>
    <row r="26" spans="1:7" ht="34.5">
      <c r="A26" s="354"/>
      <c r="B26" s="281" t="s">
        <v>835</v>
      </c>
      <c r="C26" s="288">
        <v>14475300</v>
      </c>
      <c r="D26" s="288">
        <v>12317600</v>
      </c>
      <c r="E26" s="295">
        <f>SUM(D26-C26)/C26</f>
        <v>-0.14906081393822582</v>
      </c>
      <c r="F26" s="290">
        <f t="shared" si="0"/>
        <v>-2157700</v>
      </c>
    </row>
    <row r="27" spans="1:7" ht="35.25" customHeight="1">
      <c r="A27" s="355" t="s">
        <v>871</v>
      </c>
      <c r="B27" s="355"/>
      <c r="C27" s="289">
        <f>SUM(C7:C26)</f>
        <v>245580300</v>
      </c>
      <c r="D27" s="289">
        <f>SUM(D7:D26)</f>
        <v>265021900</v>
      </c>
      <c r="E27" s="293">
        <f>SUM(D27-C27)/C27</f>
        <v>7.9165959158776167E-2</v>
      </c>
      <c r="F27" s="289">
        <f>SUM(F7:F25)</f>
        <v>21599300</v>
      </c>
    </row>
    <row r="28" spans="1:7" ht="17.25">
      <c r="A28" s="277"/>
      <c r="B28" s="277"/>
      <c r="C28" s="277"/>
      <c r="D28" s="277"/>
      <c r="E28" s="296"/>
      <c r="F28" s="296"/>
    </row>
    <row r="29" spans="1:7" ht="45" customHeight="1">
      <c r="A29" s="355" t="s">
        <v>877</v>
      </c>
      <c r="B29" s="355"/>
      <c r="C29" s="285">
        <f>SUM(C4-C27)</f>
        <v>1630696300</v>
      </c>
      <c r="D29" s="285">
        <f>SUM(D4-D27)</f>
        <v>1734651400</v>
      </c>
      <c r="E29" s="293">
        <f>SUM(D29-C29)/C29</f>
        <v>6.3748902845980573E-2</v>
      </c>
      <c r="F29" s="297">
        <f>SUM(D29-C29)+3800000</f>
        <v>107755100</v>
      </c>
    </row>
    <row r="30" spans="1:7">
      <c r="F30" s="374">
        <v>-22000000</v>
      </c>
      <c r="G30" t="s">
        <v>881</v>
      </c>
    </row>
    <row r="31" spans="1:7">
      <c r="F31" s="375">
        <f>ROUND(F29+F30,-5)</f>
        <v>85800000</v>
      </c>
    </row>
  </sheetData>
  <mergeCells count="8">
    <mergeCell ref="A23:A26"/>
    <mergeCell ref="A27:B27"/>
    <mergeCell ref="A29:B29"/>
    <mergeCell ref="A1:B1"/>
    <mergeCell ref="A2:B2"/>
    <mergeCell ref="A3:B3"/>
    <mergeCell ref="A4:B4"/>
    <mergeCell ref="B6:F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1"/>
  <sheetViews>
    <sheetView workbookViewId="0">
      <pane xSplit="3" ySplit="2" topLeftCell="L3" activePane="bottomRight" state="frozen"/>
      <selection pane="topRight" activeCell="D1" sqref="D1"/>
      <selection pane="bottomLeft" activeCell="A3" sqref="A3"/>
      <selection pane="bottomRight" activeCell="O3" sqref="O3"/>
    </sheetView>
  </sheetViews>
  <sheetFormatPr defaultColWidth="8.85546875" defaultRowHeight="15"/>
  <cols>
    <col min="1" max="1" width="9.28515625" bestFit="1" customWidth="1"/>
    <col min="2" max="2" width="9.7109375" bestFit="1" customWidth="1"/>
    <col min="3" max="3" width="47.140625" bestFit="1" customWidth="1"/>
    <col min="4" max="4" width="22" style="35" bestFit="1" customWidth="1"/>
    <col min="5" max="5" width="11.7109375" style="35" bestFit="1" customWidth="1"/>
    <col min="6" max="6" width="19.42578125" style="35" bestFit="1" customWidth="1"/>
    <col min="7" max="7" width="15.85546875" style="209" bestFit="1" customWidth="1"/>
    <col min="8" max="8" width="15.85546875" style="35" bestFit="1" customWidth="1"/>
    <col min="9" max="9" width="9.28515625" style="181" bestFit="1" customWidth="1"/>
    <col min="10" max="10" width="13.28515625" bestFit="1" customWidth="1"/>
    <col min="11" max="11" width="11.7109375" bestFit="1" customWidth="1"/>
    <col min="12" max="12" width="13.85546875" bestFit="1" customWidth="1"/>
    <col min="13" max="13" width="16.140625" customWidth="1"/>
    <col min="14" max="14" width="9.42578125" bestFit="1" customWidth="1"/>
    <col min="15" max="15" width="14.28515625" style="246" bestFit="1" customWidth="1"/>
    <col min="16" max="16" width="9.85546875" style="131" customWidth="1"/>
    <col min="17" max="17" width="14.28515625" style="131" bestFit="1" customWidth="1"/>
    <col min="18" max="18" width="12.7109375" style="131" customWidth="1"/>
    <col min="19" max="19" width="17" bestFit="1" customWidth="1"/>
    <col min="20" max="20" width="11.28515625" bestFit="1" customWidth="1"/>
    <col min="21" max="21" width="15.28515625" customWidth="1"/>
  </cols>
  <sheetData>
    <row r="1" spans="1:21">
      <c r="C1" s="2"/>
      <c r="D1" s="202" t="s">
        <v>531</v>
      </c>
      <c r="E1" s="202"/>
      <c r="F1" s="202"/>
      <c r="G1" s="203"/>
      <c r="H1" s="202"/>
      <c r="J1" s="351" t="s">
        <v>532</v>
      </c>
      <c r="K1" s="351"/>
      <c r="L1" s="351"/>
    </row>
    <row r="2" spans="1:21" ht="44.1" customHeight="1">
      <c r="A2" s="9" t="s">
        <v>179</v>
      </c>
      <c r="B2" s="10" t="s">
        <v>180</v>
      </c>
      <c r="C2" s="10" t="s">
        <v>181</v>
      </c>
      <c r="D2" s="204" t="s">
        <v>249</v>
      </c>
      <c r="E2" s="204" t="s">
        <v>250</v>
      </c>
      <c r="F2" s="204" t="s">
        <v>256</v>
      </c>
      <c r="G2" s="205" t="s">
        <v>307</v>
      </c>
      <c r="H2" s="204" t="s">
        <v>581</v>
      </c>
      <c r="I2" s="185" t="s">
        <v>583</v>
      </c>
      <c r="J2" s="244" t="s">
        <v>257</v>
      </c>
      <c r="K2" s="244" t="s">
        <v>250</v>
      </c>
      <c r="L2" s="244" t="s">
        <v>318</v>
      </c>
      <c r="M2" s="244" t="s">
        <v>801</v>
      </c>
      <c r="N2" s="244" t="s">
        <v>802</v>
      </c>
      <c r="O2" s="247" t="s">
        <v>803</v>
      </c>
      <c r="P2" s="249" t="s">
        <v>804</v>
      </c>
      <c r="Q2" s="249" t="s">
        <v>805</v>
      </c>
      <c r="R2" s="249" t="s">
        <v>807</v>
      </c>
      <c r="S2" s="244" t="s">
        <v>809</v>
      </c>
      <c r="T2" s="244" t="s">
        <v>806</v>
      </c>
      <c r="U2" s="251" t="s">
        <v>808</v>
      </c>
    </row>
    <row r="3" spans="1:21">
      <c r="A3" t="str">
        <f t="shared" ref="A3:A66" si="0">RIGHT(C3,3)</f>
        <v>001</v>
      </c>
      <c r="B3">
        <f t="shared" ref="B3:B66" si="1">A3*1</f>
        <v>1</v>
      </c>
      <c r="C3" s="14" t="s">
        <v>11</v>
      </c>
      <c r="D3" s="128">
        <v>130783437.73999999</v>
      </c>
      <c r="E3" s="128">
        <v>12681046.119999999</v>
      </c>
      <c r="F3" s="128">
        <f t="shared" ref="F3:F66" si="2">D3+E3</f>
        <v>143464483.85999998</v>
      </c>
      <c r="G3" s="206">
        <v>24903.5</v>
      </c>
      <c r="H3" s="207">
        <f t="shared" ref="H3:H34" si="3">SUM(F3/G3)</f>
        <v>5760.8161045636152</v>
      </c>
      <c r="I3" s="182">
        <f t="shared" ref="I3:I66" si="4">F3/$F$177</f>
        <v>8.2088536177192986E-2</v>
      </c>
      <c r="J3" s="5">
        <f>Calculations!AS3</f>
        <v>136875266.19449478</v>
      </c>
      <c r="K3" s="5">
        <f t="shared" ref="K3:K66" si="5">E3*1.091947</f>
        <v>13847030.267595639</v>
      </c>
      <c r="L3" s="5">
        <f t="shared" ref="L3:L66" si="6">J3+K3</f>
        <v>150722296.46209043</v>
      </c>
      <c r="M3" s="119">
        <f>'Student Enrollment Data'!CK4</f>
        <v>24552.73053359133</v>
      </c>
      <c r="N3" s="5">
        <f>L3/M3</f>
        <v>6138.7183089833015</v>
      </c>
      <c r="O3" s="248">
        <f>F3*('Front page'!$H$11+1)</f>
        <v>147768418.37579998</v>
      </c>
      <c r="P3" s="250">
        <f>H3*('Front page'!$H$10+1)</f>
        <v>6048.8569097917962</v>
      </c>
      <c r="Q3" s="250">
        <f t="shared" ref="Q3:Q34" si="7">P3*M3</f>
        <v>148515953.74236992</v>
      </c>
      <c r="R3" s="250">
        <f t="shared" ref="R3:R34" si="8">IF(H3=0,0,IF(Q3&lt;L3,Q3-L3,0))</f>
        <v>-2206342.7197205126</v>
      </c>
      <c r="S3" s="7">
        <f t="shared" ref="S3:S34" si="9">MAX(O3,F3,L3)</f>
        <v>150722296.46209043</v>
      </c>
      <c r="T3" s="7">
        <f t="shared" ref="T3:T34" si="10">S3-L3</f>
        <v>0</v>
      </c>
      <c r="U3" s="5">
        <f t="shared" ref="U3:U34" si="11">MAX(L3,F3)-L3</f>
        <v>0</v>
      </c>
    </row>
    <row r="4" spans="1:21">
      <c r="A4" t="str">
        <f t="shared" si="0"/>
        <v>002</v>
      </c>
      <c r="B4">
        <f t="shared" si="1"/>
        <v>2</v>
      </c>
      <c r="C4" s="14" t="s">
        <v>12</v>
      </c>
      <c r="D4" s="128">
        <v>192634176</v>
      </c>
      <c r="E4" s="128">
        <v>18628750</v>
      </c>
      <c r="F4" s="128">
        <f t="shared" si="2"/>
        <v>211262926</v>
      </c>
      <c r="G4" s="206">
        <v>37280.5</v>
      </c>
      <c r="H4" s="207">
        <f t="shared" si="3"/>
        <v>5666.8479768243451</v>
      </c>
      <c r="I4" s="182">
        <f t="shared" si="4"/>
        <v>0.12088193451958547</v>
      </c>
      <c r="J4" s="5">
        <f>Calculations!AS4</f>
        <v>204720245.60797352</v>
      </c>
      <c r="K4" s="5">
        <f t="shared" si="5"/>
        <v>20341607.67625</v>
      </c>
      <c r="L4" s="5">
        <f t="shared" si="6"/>
        <v>225061853.28422353</v>
      </c>
      <c r="M4" s="119">
        <f>'Student Enrollment Data'!CK5</f>
        <v>37888.524509803923</v>
      </c>
      <c r="N4" s="5">
        <f t="shared" ref="N4:N67" si="12">L4/M4</f>
        <v>5940.10603991684</v>
      </c>
      <c r="O4" s="248">
        <f>F4*('Front page'!$H$11+1)</f>
        <v>217600813.78</v>
      </c>
      <c r="P4" s="250">
        <f>H4*('Front page'!$H$10+1)</f>
        <v>5950.1903756655629</v>
      </c>
      <c r="Q4" s="250">
        <f t="shared" si="7"/>
        <v>225443933.8864041</v>
      </c>
      <c r="R4" s="250">
        <f t="shared" si="8"/>
        <v>0</v>
      </c>
      <c r="S4" s="7">
        <f t="shared" si="9"/>
        <v>225061853.28422353</v>
      </c>
      <c r="T4" s="7">
        <f t="shared" si="10"/>
        <v>0</v>
      </c>
      <c r="U4" s="5">
        <f t="shared" si="11"/>
        <v>0</v>
      </c>
    </row>
    <row r="5" spans="1:21">
      <c r="A5" t="str">
        <f t="shared" si="0"/>
        <v>003</v>
      </c>
      <c r="B5">
        <f t="shared" si="1"/>
        <v>3</v>
      </c>
      <c r="C5" s="14" t="s">
        <v>13</v>
      </c>
      <c r="D5" s="128">
        <v>26329257</v>
      </c>
      <c r="E5" s="128">
        <v>3445687</v>
      </c>
      <c r="F5" s="128">
        <f t="shared" si="2"/>
        <v>29774944</v>
      </c>
      <c r="G5" s="206">
        <v>5187</v>
      </c>
      <c r="H5" s="207">
        <f t="shared" si="3"/>
        <v>5740.3015230383653</v>
      </c>
      <c r="I5" s="182">
        <f t="shared" si="4"/>
        <v>1.7036840770312554E-2</v>
      </c>
      <c r="J5" s="5">
        <f>Calculations!AS5</f>
        <v>28122224.409818888</v>
      </c>
      <c r="K5" s="5">
        <f t="shared" si="5"/>
        <v>3762507.582589</v>
      </c>
      <c r="L5" s="5">
        <f t="shared" si="6"/>
        <v>31884731.992407888</v>
      </c>
      <c r="M5" s="119">
        <f>'Student Enrollment Data'!CK6</f>
        <v>5161.4496078431375</v>
      </c>
      <c r="N5" s="5">
        <f t="shared" si="12"/>
        <v>6177.4761772268575</v>
      </c>
      <c r="O5" s="248">
        <f>F5*('Front page'!$H$11+1)</f>
        <v>30668192.32</v>
      </c>
      <c r="P5" s="250">
        <f>H5*('Front page'!$H$10+1)</f>
        <v>6027.3165991902843</v>
      </c>
      <c r="Q5" s="250">
        <f t="shared" si="7"/>
        <v>31109690.897237126</v>
      </c>
      <c r="R5" s="250">
        <f t="shared" si="8"/>
        <v>-775041.09517076239</v>
      </c>
      <c r="S5" s="7">
        <f t="shared" si="9"/>
        <v>31884731.992407888</v>
      </c>
      <c r="T5" s="7">
        <f t="shared" si="10"/>
        <v>0</v>
      </c>
      <c r="U5" s="5">
        <f t="shared" si="11"/>
        <v>0</v>
      </c>
    </row>
    <row r="6" spans="1:21">
      <c r="A6" t="str">
        <f t="shared" si="0"/>
        <v>011</v>
      </c>
      <c r="B6">
        <f t="shared" si="1"/>
        <v>11</v>
      </c>
      <c r="C6" s="14" t="s">
        <v>14</v>
      </c>
      <c r="D6" s="128">
        <v>1505839</v>
      </c>
      <c r="E6" s="128">
        <v>190147</v>
      </c>
      <c r="F6" s="128">
        <f t="shared" si="2"/>
        <v>1695986</v>
      </c>
      <c r="G6" s="206">
        <v>160</v>
      </c>
      <c r="H6" s="207">
        <f t="shared" si="3"/>
        <v>10599.9125</v>
      </c>
      <c r="I6" s="182">
        <f t="shared" si="4"/>
        <v>9.7042141979106016E-4</v>
      </c>
      <c r="J6" s="5">
        <f>Calculations!AS6</f>
        <v>1637601.8794057348</v>
      </c>
      <c r="K6" s="5">
        <f t="shared" si="5"/>
        <v>207630.44620899999</v>
      </c>
      <c r="L6" s="5">
        <f t="shared" si="6"/>
        <v>1845232.3256147348</v>
      </c>
      <c r="M6" s="119">
        <f>'Student Enrollment Data'!CK7</f>
        <v>147</v>
      </c>
      <c r="N6" s="5">
        <f t="shared" si="12"/>
        <v>12552.600854522005</v>
      </c>
      <c r="O6" s="248">
        <f>F6*('Front page'!$H$11+1)</f>
        <v>1746865.58</v>
      </c>
      <c r="P6" s="250">
        <f>H6*('Front page'!$H$10+1)</f>
        <v>11129.908125000002</v>
      </c>
      <c r="Q6" s="250">
        <f t="shared" si="7"/>
        <v>1636096.4943750002</v>
      </c>
      <c r="R6" s="250">
        <f t="shared" si="8"/>
        <v>-209135.83123973454</v>
      </c>
      <c r="S6" s="7">
        <f t="shared" si="9"/>
        <v>1845232.3256147348</v>
      </c>
      <c r="T6" s="7">
        <f t="shared" si="10"/>
        <v>0</v>
      </c>
      <c r="U6" s="5">
        <f t="shared" si="11"/>
        <v>0</v>
      </c>
    </row>
    <row r="7" spans="1:21">
      <c r="A7" t="str">
        <f t="shared" si="0"/>
        <v>013</v>
      </c>
      <c r="B7">
        <f t="shared" si="1"/>
        <v>13</v>
      </c>
      <c r="C7" s="14" t="s">
        <v>15</v>
      </c>
      <c r="D7" s="128">
        <v>1936931.8900000001</v>
      </c>
      <c r="E7" s="128">
        <v>178753.23</v>
      </c>
      <c r="F7" s="128">
        <f t="shared" si="2"/>
        <v>2115685.12</v>
      </c>
      <c r="G7" s="206">
        <v>251</v>
      </c>
      <c r="H7" s="207">
        <f t="shared" si="3"/>
        <v>8429.0243824701192</v>
      </c>
      <c r="I7" s="182">
        <f t="shared" si="4"/>
        <v>1.2105678690633175E-3</v>
      </c>
      <c r="J7" s="5">
        <f>Calculations!AS7</f>
        <v>2283052.355401217</v>
      </c>
      <c r="K7" s="5">
        <f t="shared" si="5"/>
        <v>195189.05323881001</v>
      </c>
      <c r="L7" s="5">
        <f t="shared" si="6"/>
        <v>2478241.408640027</v>
      </c>
      <c r="M7" s="119">
        <f>'Student Enrollment Data'!CK8</f>
        <v>272</v>
      </c>
      <c r="N7" s="5">
        <f t="shared" si="12"/>
        <v>9111.1816494118648</v>
      </c>
      <c r="O7" s="248">
        <f>F7*('Front page'!$H$11+1)</f>
        <v>2179155.6736000003</v>
      </c>
      <c r="P7" s="250">
        <f>H7*('Front page'!$H$10+1)</f>
        <v>8850.4756015936255</v>
      </c>
      <c r="Q7" s="250">
        <f t="shared" si="7"/>
        <v>2407329.363633466</v>
      </c>
      <c r="R7" s="250">
        <f t="shared" si="8"/>
        <v>-70912.045006561093</v>
      </c>
      <c r="S7" s="7">
        <f t="shared" si="9"/>
        <v>2478241.408640027</v>
      </c>
      <c r="T7" s="7">
        <f t="shared" si="10"/>
        <v>0</v>
      </c>
      <c r="U7" s="5">
        <f t="shared" si="11"/>
        <v>0</v>
      </c>
    </row>
    <row r="8" spans="1:21">
      <c r="A8" t="str">
        <f t="shared" si="0"/>
        <v>021</v>
      </c>
      <c r="B8">
        <f t="shared" si="1"/>
        <v>21</v>
      </c>
      <c r="C8" s="14" t="s">
        <v>16</v>
      </c>
      <c r="D8" s="128">
        <v>7055941.7200000007</v>
      </c>
      <c r="E8" s="128">
        <v>666247.5</v>
      </c>
      <c r="F8" s="128">
        <f t="shared" si="2"/>
        <v>7722189.2200000007</v>
      </c>
      <c r="G8" s="206">
        <v>1228.5</v>
      </c>
      <c r="H8" s="207">
        <f t="shared" si="3"/>
        <v>6285.8683109483118</v>
      </c>
      <c r="I8" s="182">
        <f t="shared" si="4"/>
        <v>4.4185375508805028E-3</v>
      </c>
      <c r="J8" s="5">
        <f>Calculations!AS8</f>
        <v>7907314.6920297444</v>
      </c>
      <c r="K8" s="5">
        <f t="shared" si="5"/>
        <v>727506.95888249995</v>
      </c>
      <c r="L8" s="5">
        <f t="shared" si="6"/>
        <v>8634821.6509122439</v>
      </c>
      <c r="M8" s="119">
        <f>'Student Enrollment Data'!CK9</f>
        <v>1229</v>
      </c>
      <c r="N8" s="5">
        <f t="shared" si="12"/>
        <v>7025.8923115640719</v>
      </c>
      <c r="O8" s="248">
        <f>F8*('Front page'!$H$11+1)</f>
        <v>7953854.8966000006</v>
      </c>
      <c r="P8" s="250">
        <f>H8*('Front page'!$H$10+1)</f>
        <v>6600.1617264957276</v>
      </c>
      <c r="Q8" s="250">
        <f t="shared" si="7"/>
        <v>8111598.7618632494</v>
      </c>
      <c r="R8" s="250">
        <f t="shared" si="8"/>
        <v>-523222.88904899452</v>
      </c>
      <c r="S8" s="7">
        <f t="shared" si="9"/>
        <v>8634821.6509122439</v>
      </c>
      <c r="T8" s="7">
        <f t="shared" si="10"/>
        <v>0</v>
      </c>
      <c r="U8" s="5">
        <f t="shared" si="11"/>
        <v>0</v>
      </c>
    </row>
    <row r="9" spans="1:21">
      <c r="A9" t="str">
        <f t="shared" si="0"/>
        <v>025</v>
      </c>
      <c r="B9">
        <f t="shared" si="1"/>
        <v>25</v>
      </c>
      <c r="C9" s="14" t="s">
        <v>17</v>
      </c>
      <c r="D9" s="128">
        <v>61179141.420000002</v>
      </c>
      <c r="E9" s="128">
        <v>4915185.1399999997</v>
      </c>
      <c r="F9" s="128">
        <f t="shared" si="2"/>
        <v>66094326.560000002</v>
      </c>
      <c r="G9" s="206">
        <v>11906</v>
      </c>
      <c r="H9" s="207">
        <f t="shared" si="3"/>
        <v>5551.346091046531</v>
      </c>
      <c r="I9" s="182">
        <f t="shared" si="4"/>
        <v>3.7818325281275426E-2</v>
      </c>
      <c r="J9" s="5">
        <f>Calculations!AS9</f>
        <v>66692542.466906987</v>
      </c>
      <c r="K9" s="5">
        <f t="shared" si="5"/>
        <v>5367121.6680675801</v>
      </c>
      <c r="L9" s="5">
        <f t="shared" si="6"/>
        <v>72059664.134974569</v>
      </c>
      <c r="M9" s="119">
        <f>'Student Enrollment Data'!CK10</f>
        <v>12067.65642701525</v>
      </c>
      <c r="N9" s="5">
        <f t="shared" si="12"/>
        <v>5971.3055779130618</v>
      </c>
      <c r="O9" s="248">
        <f>F9*('Front page'!$H$11+1)</f>
        <v>68077156.356800005</v>
      </c>
      <c r="P9" s="250">
        <f>H9*('Front page'!$H$10+1)</f>
        <v>5828.9133955988582</v>
      </c>
      <c r="Q9" s="250">
        <f t="shared" si="7"/>
        <v>70341324.200913846</v>
      </c>
      <c r="R9" s="250">
        <f t="shared" si="8"/>
        <v>-1718339.9340607226</v>
      </c>
      <c r="S9" s="7">
        <f t="shared" si="9"/>
        <v>72059664.134974569</v>
      </c>
      <c r="T9" s="7">
        <f t="shared" si="10"/>
        <v>0</v>
      </c>
      <c r="U9" s="5">
        <f t="shared" si="11"/>
        <v>0</v>
      </c>
    </row>
    <row r="10" spans="1:21">
      <c r="A10" t="str">
        <f t="shared" si="0"/>
        <v>033</v>
      </c>
      <c r="B10">
        <f t="shared" si="1"/>
        <v>33</v>
      </c>
      <c r="C10" s="14" t="s">
        <v>18</v>
      </c>
      <c r="D10" s="128">
        <v>6316544.3899999997</v>
      </c>
      <c r="E10" s="128">
        <v>713086.2</v>
      </c>
      <c r="F10" s="128">
        <f t="shared" si="2"/>
        <v>7029630.5899999999</v>
      </c>
      <c r="G10" s="206">
        <v>1106</v>
      </c>
      <c r="H10" s="207">
        <f t="shared" si="3"/>
        <v>6355.9046925858947</v>
      </c>
      <c r="I10" s="182">
        <f t="shared" si="4"/>
        <v>4.0222643923679014E-3</v>
      </c>
      <c r="J10" s="5">
        <f>Calculations!AS10</f>
        <v>7026916.7315211771</v>
      </c>
      <c r="K10" s="5">
        <f t="shared" si="5"/>
        <v>778652.33683139994</v>
      </c>
      <c r="L10" s="5">
        <f t="shared" si="6"/>
        <v>7805569.0683525773</v>
      </c>
      <c r="M10" s="119">
        <f>'Student Enrollment Data'!CK11</f>
        <v>1127.5</v>
      </c>
      <c r="N10" s="5">
        <f t="shared" si="12"/>
        <v>6922.8993954346579</v>
      </c>
      <c r="O10" s="248">
        <f>F10*('Front page'!$H$11+1)</f>
        <v>7240519.5077</v>
      </c>
      <c r="P10" s="250">
        <f>H10*('Front page'!$H$10+1)</f>
        <v>6673.6999272151897</v>
      </c>
      <c r="Q10" s="250">
        <f t="shared" si="7"/>
        <v>7524596.6679351265</v>
      </c>
      <c r="R10" s="250">
        <f t="shared" si="8"/>
        <v>-280972.40041745082</v>
      </c>
      <c r="S10" s="7">
        <f t="shared" si="9"/>
        <v>7805569.0683525773</v>
      </c>
      <c r="T10" s="7">
        <f t="shared" si="10"/>
        <v>0</v>
      </c>
      <c r="U10" s="5">
        <f t="shared" si="11"/>
        <v>0</v>
      </c>
    </row>
    <row r="11" spans="1:21">
      <c r="A11" t="str">
        <f t="shared" si="0"/>
        <v>041</v>
      </c>
      <c r="B11">
        <f t="shared" si="1"/>
        <v>41</v>
      </c>
      <c r="C11" s="14" t="s">
        <v>19</v>
      </c>
      <c r="D11" s="128">
        <v>5544302.1400000006</v>
      </c>
      <c r="E11" s="128">
        <v>806193.21000000008</v>
      </c>
      <c r="F11" s="128">
        <f t="shared" si="2"/>
        <v>6350495.3500000006</v>
      </c>
      <c r="G11" s="206">
        <v>949.5</v>
      </c>
      <c r="H11" s="207">
        <f t="shared" si="3"/>
        <v>6688.252080042128</v>
      </c>
      <c r="I11" s="182">
        <f t="shared" si="4"/>
        <v>3.6336719253127832E-3</v>
      </c>
      <c r="J11" s="5">
        <f>Calculations!AS11</f>
        <v>6049647.0956194354</v>
      </c>
      <c r="K11" s="5">
        <f t="shared" si="5"/>
        <v>880320.25707987009</v>
      </c>
      <c r="L11" s="5">
        <f t="shared" si="6"/>
        <v>6929967.3526993059</v>
      </c>
      <c r="M11" s="119">
        <f>'Student Enrollment Data'!CK12</f>
        <v>940</v>
      </c>
      <c r="N11" s="5">
        <f t="shared" si="12"/>
        <v>7372.3056943609636</v>
      </c>
      <c r="O11" s="248">
        <f>F11*('Front page'!$H$11+1)</f>
        <v>6541010.210500001</v>
      </c>
      <c r="P11" s="250">
        <f>H11*('Front page'!$H$10+1)</f>
        <v>7022.6646840442345</v>
      </c>
      <c r="Q11" s="250">
        <f t="shared" si="7"/>
        <v>6601304.8030015808</v>
      </c>
      <c r="R11" s="250">
        <f t="shared" si="8"/>
        <v>-328662.5496977251</v>
      </c>
      <c r="S11" s="7">
        <f t="shared" si="9"/>
        <v>6929967.3526993059</v>
      </c>
      <c r="T11" s="7">
        <f t="shared" si="10"/>
        <v>0</v>
      </c>
      <c r="U11" s="5">
        <f t="shared" si="11"/>
        <v>0</v>
      </c>
    </row>
    <row r="12" spans="1:21">
      <c r="A12" t="str">
        <f t="shared" si="0"/>
        <v>044</v>
      </c>
      <c r="B12">
        <f t="shared" si="1"/>
        <v>44</v>
      </c>
      <c r="C12" s="14" t="s">
        <v>20</v>
      </c>
      <c r="D12" s="128">
        <v>2120997.17</v>
      </c>
      <c r="E12" s="128">
        <v>352427.98</v>
      </c>
      <c r="F12" s="128">
        <f t="shared" si="2"/>
        <v>2473425.15</v>
      </c>
      <c r="G12" s="206">
        <v>327</v>
      </c>
      <c r="H12" s="207">
        <f t="shared" si="3"/>
        <v>7563.9912844036699</v>
      </c>
      <c r="I12" s="182">
        <f t="shared" si="4"/>
        <v>1.4152621223346867E-3</v>
      </c>
      <c r="J12" s="5">
        <f>Calculations!AS12</f>
        <v>2730799.0937418202</v>
      </c>
      <c r="K12" s="5">
        <f t="shared" si="5"/>
        <v>384832.67547705997</v>
      </c>
      <c r="L12" s="5">
        <f t="shared" si="6"/>
        <v>3115631.7692188802</v>
      </c>
      <c r="M12" s="119">
        <f>'Student Enrollment Data'!CK13</f>
        <v>340.5</v>
      </c>
      <c r="N12" s="5">
        <f t="shared" si="12"/>
        <v>9150.1667231097799</v>
      </c>
      <c r="O12" s="248">
        <f>F12*('Front page'!$H$11+1)</f>
        <v>2547627.9045000002</v>
      </c>
      <c r="P12" s="250">
        <f>H12*('Front page'!$H$10+1)</f>
        <v>7942.1908486238535</v>
      </c>
      <c r="Q12" s="250">
        <f t="shared" si="7"/>
        <v>2704315.9839564222</v>
      </c>
      <c r="R12" s="250">
        <f t="shared" si="8"/>
        <v>-411315.78526245803</v>
      </c>
      <c r="S12" s="7">
        <f t="shared" si="9"/>
        <v>3115631.7692188802</v>
      </c>
      <c r="T12" s="7">
        <f t="shared" si="10"/>
        <v>0</v>
      </c>
      <c r="U12" s="5">
        <f t="shared" si="11"/>
        <v>0</v>
      </c>
    </row>
    <row r="13" spans="1:21">
      <c r="A13" t="str">
        <f t="shared" si="0"/>
        <v>052</v>
      </c>
      <c r="B13">
        <f t="shared" si="1"/>
        <v>52</v>
      </c>
      <c r="C13" s="14" t="s">
        <v>21</v>
      </c>
      <c r="D13" s="128">
        <v>9204894.6300000008</v>
      </c>
      <c r="E13" s="128">
        <v>1332988.7000000002</v>
      </c>
      <c r="F13" s="128">
        <f t="shared" si="2"/>
        <v>10537883.330000002</v>
      </c>
      <c r="G13" s="206">
        <v>1701</v>
      </c>
      <c r="H13" s="207">
        <f t="shared" si="3"/>
        <v>6195.1107172251632</v>
      </c>
      <c r="I13" s="182">
        <f t="shared" si="4"/>
        <v>6.0296415788167754E-3</v>
      </c>
      <c r="J13" s="5">
        <f>Calculations!AS13</f>
        <v>9441526.7659230232</v>
      </c>
      <c r="K13" s="5">
        <f t="shared" si="5"/>
        <v>1455553.0119989002</v>
      </c>
      <c r="L13" s="5">
        <f t="shared" si="6"/>
        <v>10897079.777921923</v>
      </c>
      <c r="M13" s="119">
        <f>'Student Enrollment Data'!CK14</f>
        <v>1705.5</v>
      </c>
      <c r="N13" s="5">
        <f t="shared" si="12"/>
        <v>6389.3754194792864</v>
      </c>
      <c r="O13" s="248">
        <f>F13*('Front page'!$H$11+1)</f>
        <v>10854019.829900002</v>
      </c>
      <c r="P13" s="250">
        <f>H13*('Front page'!$H$10+1)</f>
        <v>6504.8662530864212</v>
      </c>
      <c r="Q13" s="250">
        <f t="shared" si="7"/>
        <v>11094049.394638892</v>
      </c>
      <c r="R13" s="250">
        <f t="shared" si="8"/>
        <v>0</v>
      </c>
      <c r="S13" s="7">
        <f t="shared" si="9"/>
        <v>10897079.777921923</v>
      </c>
      <c r="T13" s="7">
        <f t="shared" si="10"/>
        <v>0</v>
      </c>
      <c r="U13" s="5">
        <f t="shared" si="11"/>
        <v>0</v>
      </c>
    </row>
    <row r="14" spans="1:21">
      <c r="A14" t="str">
        <f t="shared" si="0"/>
        <v>055</v>
      </c>
      <c r="B14">
        <f t="shared" si="1"/>
        <v>55</v>
      </c>
      <c r="C14" s="14" t="s">
        <v>22</v>
      </c>
      <c r="D14" s="128">
        <v>19779597.309999999</v>
      </c>
      <c r="E14" s="128">
        <v>2368982.63</v>
      </c>
      <c r="F14" s="128">
        <f t="shared" si="2"/>
        <v>22148579.939999998</v>
      </c>
      <c r="G14" s="206">
        <v>3721.5</v>
      </c>
      <c r="H14" s="207">
        <f t="shared" si="3"/>
        <v>5951.5195324465931</v>
      </c>
      <c r="I14" s="182">
        <f t="shared" si="4"/>
        <v>1.2673133145987404E-2</v>
      </c>
      <c r="J14" s="5">
        <f>Calculations!AS14</f>
        <v>20897863.430559009</v>
      </c>
      <c r="K14" s="5">
        <f t="shared" si="5"/>
        <v>2586803.4758806098</v>
      </c>
      <c r="L14" s="5">
        <f t="shared" si="6"/>
        <v>23484666.906439617</v>
      </c>
      <c r="M14" s="119">
        <f>'Student Enrollment Data'!CK15</f>
        <v>3660.8044754901962</v>
      </c>
      <c r="N14" s="5">
        <f t="shared" si="12"/>
        <v>6415.1655909716201</v>
      </c>
      <c r="O14" s="248">
        <f>F14*('Front page'!$H$11+1)</f>
        <v>22813037.338199999</v>
      </c>
      <c r="P14" s="250">
        <f>H14*('Front page'!$H$10+1)</f>
        <v>6249.0955090689231</v>
      </c>
      <c r="Q14" s="250">
        <f t="shared" si="7"/>
        <v>22876716.807365198</v>
      </c>
      <c r="R14" s="250">
        <f t="shared" si="8"/>
        <v>-607950.09907441959</v>
      </c>
      <c r="S14" s="7">
        <f t="shared" si="9"/>
        <v>23484666.906439617</v>
      </c>
      <c r="T14" s="7">
        <f t="shared" si="10"/>
        <v>0</v>
      </c>
      <c r="U14" s="5">
        <f t="shared" si="11"/>
        <v>0</v>
      </c>
    </row>
    <row r="15" spans="1:21">
      <c r="A15" t="str">
        <f t="shared" si="0"/>
        <v>058</v>
      </c>
      <c r="B15">
        <f t="shared" si="1"/>
        <v>58</v>
      </c>
      <c r="C15" s="14" t="s">
        <v>23</v>
      </c>
      <c r="D15" s="128">
        <v>4271323.8900000006</v>
      </c>
      <c r="E15" s="128">
        <v>959633.03999999992</v>
      </c>
      <c r="F15" s="128">
        <f t="shared" si="2"/>
        <v>5230956.9300000006</v>
      </c>
      <c r="G15" s="206">
        <v>692</v>
      </c>
      <c r="H15" s="207">
        <f t="shared" si="3"/>
        <v>7559.1863150289028</v>
      </c>
      <c r="I15" s="182">
        <f t="shared" si="4"/>
        <v>2.993086411607458E-3</v>
      </c>
      <c r="J15" s="5">
        <f>Calculations!AS15</f>
        <v>4705565.9899034491</v>
      </c>
      <c r="K15" s="5">
        <f t="shared" si="5"/>
        <v>1047868.4191288799</v>
      </c>
      <c r="L15" s="5">
        <f t="shared" si="6"/>
        <v>5753434.409032329</v>
      </c>
      <c r="M15" s="119">
        <f>'Student Enrollment Data'!CK16</f>
        <v>702</v>
      </c>
      <c r="N15" s="5">
        <f t="shared" si="12"/>
        <v>8195.7755114420634</v>
      </c>
      <c r="O15" s="248">
        <f>F15*('Front page'!$H$11+1)</f>
        <v>5387885.6379000004</v>
      </c>
      <c r="P15" s="250">
        <f>H15*('Front page'!$H$10+1)</f>
        <v>7937.1456307803483</v>
      </c>
      <c r="Q15" s="250">
        <f t="shared" si="7"/>
        <v>5571876.2328078048</v>
      </c>
      <c r="R15" s="250">
        <f t="shared" si="8"/>
        <v>-181558.17622452416</v>
      </c>
      <c r="S15" s="7">
        <f t="shared" si="9"/>
        <v>5753434.409032329</v>
      </c>
      <c r="T15" s="7">
        <f t="shared" si="10"/>
        <v>0</v>
      </c>
      <c r="U15" s="5">
        <f t="shared" si="11"/>
        <v>0</v>
      </c>
    </row>
    <row r="16" spans="1:21">
      <c r="A16" t="str">
        <f t="shared" si="0"/>
        <v>059</v>
      </c>
      <c r="B16">
        <f t="shared" si="1"/>
        <v>59</v>
      </c>
      <c r="C16" s="14" t="s">
        <v>24</v>
      </c>
      <c r="D16" s="128">
        <v>4524876.33</v>
      </c>
      <c r="E16" s="128">
        <v>401007.35000000003</v>
      </c>
      <c r="F16" s="128">
        <f t="shared" si="2"/>
        <v>4925883.68</v>
      </c>
      <c r="G16" s="206">
        <v>773.5</v>
      </c>
      <c r="H16" s="207">
        <f t="shared" si="3"/>
        <v>6368.3046929541042</v>
      </c>
      <c r="I16" s="182">
        <f t="shared" si="4"/>
        <v>2.8185274138296025E-3</v>
      </c>
      <c r="J16" s="5">
        <f>Calculations!AS16</f>
        <v>5104968.985708911</v>
      </c>
      <c r="K16" s="5">
        <f t="shared" si="5"/>
        <v>437878.77281045006</v>
      </c>
      <c r="L16" s="5">
        <f t="shared" si="6"/>
        <v>5542847.7585193608</v>
      </c>
      <c r="M16" s="119">
        <f>'Student Enrollment Data'!CK17</f>
        <v>811</v>
      </c>
      <c r="N16" s="5">
        <f t="shared" si="12"/>
        <v>6834.5841658685094</v>
      </c>
      <c r="O16" s="248">
        <f>F16*('Front page'!$H$11+1)</f>
        <v>5073660.1903999997</v>
      </c>
      <c r="P16" s="250">
        <f>H16*('Front page'!$H$10+1)</f>
        <v>6686.71992760181</v>
      </c>
      <c r="Q16" s="250">
        <f t="shared" si="7"/>
        <v>5422929.8612850681</v>
      </c>
      <c r="R16" s="250">
        <f t="shared" si="8"/>
        <v>-119917.8972342927</v>
      </c>
      <c r="S16" s="7">
        <f t="shared" si="9"/>
        <v>5542847.7585193608</v>
      </c>
      <c r="T16" s="7">
        <f t="shared" si="10"/>
        <v>0</v>
      </c>
      <c r="U16" s="5">
        <f t="shared" si="11"/>
        <v>0</v>
      </c>
    </row>
    <row r="17" spans="1:21">
      <c r="A17" t="str">
        <f t="shared" si="0"/>
        <v>060</v>
      </c>
      <c r="B17">
        <f t="shared" si="1"/>
        <v>60</v>
      </c>
      <c r="C17" s="14" t="s">
        <v>25</v>
      </c>
      <c r="D17" s="128">
        <v>11202148.25</v>
      </c>
      <c r="E17" s="128">
        <v>1195484.1400000001</v>
      </c>
      <c r="F17" s="128">
        <f t="shared" si="2"/>
        <v>12397632.390000001</v>
      </c>
      <c r="G17" s="206">
        <v>2231.5</v>
      </c>
      <c r="H17" s="207">
        <f t="shared" si="3"/>
        <v>5555.7393636567331</v>
      </c>
      <c r="I17" s="182">
        <f t="shared" si="4"/>
        <v>7.0937661195030121E-3</v>
      </c>
      <c r="J17" s="5">
        <f>Calculations!AS17</f>
        <v>12338029.603196103</v>
      </c>
      <c r="K17" s="5">
        <f t="shared" si="5"/>
        <v>1305405.3202205801</v>
      </c>
      <c r="L17" s="5">
        <f t="shared" si="6"/>
        <v>13643434.923416683</v>
      </c>
      <c r="M17" s="119">
        <f>'Student Enrollment Data'!CK18</f>
        <v>2241</v>
      </c>
      <c r="N17" s="5">
        <f t="shared" si="12"/>
        <v>6088.1012598914249</v>
      </c>
      <c r="O17" s="248">
        <f>F17*('Front page'!$H$11+1)</f>
        <v>12769561.3617</v>
      </c>
      <c r="P17" s="250">
        <f>H17*('Front page'!$H$10+1)</f>
        <v>5833.52633183957</v>
      </c>
      <c r="Q17" s="250">
        <f t="shared" si="7"/>
        <v>13072932.509652477</v>
      </c>
      <c r="R17" s="250">
        <f t="shared" si="8"/>
        <v>-570502.41376420669</v>
      </c>
      <c r="S17" s="7">
        <f t="shared" si="9"/>
        <v>13643434.923416683</v>
      </c>
      <c r="T17" s="7">
        <f t="shared" si="10"/>
        <v>0</v>
      </c>
      <c r="U17" s="5">
        <f t="shared" si="11"/>
        <v>0</v>
      </c>
    </row>
    <row r="18" spans="1:21">
      <c r="A18" t="str">
        <f t="shared" si="0"/>
        <v>061</v>
      </c>
      <c r="B18">
        <f t="shared" si="1"/>
        <v>61</v>
      </c>
      <c r="C18" s="14" t="s">
        <v>26</v>
      </c>
      <c r="D18" s="128">
        <v>17385903</v>
      </c>
      <c r="E18" s="128">
        <v>2131568</v>
      </c>
      <c r="F18" s="128">
        <f t="shared" si="2"/>
        <v>19517471</v>
      </c>
      <c r="G18" s="206">
        <v>3249</v>
      </c>
      <c r="H18" s="207">
        <f t="shared" si="3"/>
        <v>6007.2240689442906</v>
      </c>
      <c r="I18" s="182">
        <f t="shared" si="4"/>
        <v>1.116764638301899E-2</v>
      </c>
      <c r="J18" s="5">
        <f>Calculations!AS18</f>
        <v>18180727.868969422</v>
      </c>
      <c r="K18" s="5">
        <f t="shared" si="5"/>
        <v>2327559.282896</v>
      </c>
      <c r="L18" s="5">
        <f t="shared" si="6"/>
        <v>20508287.151865423</v>
      </c>
      <c r="M18" s="119">
        <f>'Student Enrollment Data'!CK19</f>
        <v>3258.5</v>
      </c>
      <c r="N18" s="5">
        <f t="shared" si="12"/>
        <v>6293.781541158638</v>
      </c>
      <c r="O18" s="248">
        <f>F18*('Front page'!$H$11+1)</f>
        <v>20102995.129999999</v>
      </c>
      <c r="P18" s="250">
        <f>H18*('Front page'!$H$10+1)</f>
        <v>6307.585272391505</v>
      </c>
      <c r="Q18" s="250">
        <f t="shared" si="7"/>
        <v>20553266.610087719</v>
      </c>
      <c r="R18" s="250">
        <f t="shared" si="8"/>
        <v>0</v>
      </c>
      <c r="S18" s="7">
        <f t="shared" si="9"/>
        <v>20508287.151865423</v>
      </c>
      <c r="T18" s="7">
        <f t="shared" si="10"/>
        <v>0</v>
      </c>
      <c r="U18" s="5">
        <f t="shared" si="11"/>
        <v>0</v>
      </c>
    </row>
    <row r="19" spans="1:21">
      <c r="A19" t="str">
        <f t="shared" si="0"/>
        <v>071</v>
      </c>
      <c r="B19">
        <f t="shared" si="1"/>
        <v>71</v>
      </c>
      <c r="C19" s="14" t="s">
        <v>27</v>
      </c>
      <c r="D19" s="128">
        <v>1942524.48</v>
      </c>
      <c r="E19" s="128">
        <v>246426.4</v>
      </c>
      <c r="F19" s="128">
        <f t="shared" si="2"/>
        <v>2188950.88</v>
      </c>
      <c r="G19" s="206">
        <v>242</v>
      </c>
      <c r="H19" s="207">
        <f t="shared" si="3"/>
        <v>9045.2515702479341</v>
      </c>
      <c r="I19" s="182">
        <f t="shared" si="4"/>
        <v>1.2524895965075717E-3</v>
      </c>
      <c r="J19" s="5">
        <f>Calculations!AS19</f>
        <v>2059255.9650859472</v>
      </c>
      <c r="K19" s="5">
        <f t="shared" si="5"/>
        <v>269084.56820079999</v>
      </c>
      <c r="L19" s="5">
        <f t="shared" si="6"/>
        <v>2328340.5332867471</v>
      </c>
      <c r="M19" s="119">
        <f>'Student Enrollment Data'!CK20</f>
        <v>239</v>
      </c>
      <c r="N19" s="5">
        <f t="shared" si="12"/>
        <v>9742.0105995261383</v>
      </c>
      <c r="O19" s="248">
        <f>F19*('Front page'!$H$11+1)</f>
        <v>2254619.4063999997</v>
      </c>
      <c r="P19" s="250">
        <f>H19*('Front page'!$H$10+1)</f>
        <v>9497.5141487603305</v>
      </c>
      <c r="Q19" s="250">
        <f t="shared" si="7"/>
        <v>2269905.8815537188</v>
      </c>
      <c r="R19" s="250">
        <f t="shared" si="8"/>
        <v>-58434.651733028237</v>
      </c>
      <c r="S19" s="7">
        <f t="shared" si="9"/>
        <v>2328340.5332867471</v>
      </c>
      <c r="T19" s="7">
        <f t="shared" si="10"/>
        <v>0</v>
      </c>
      <c r="U19" s="5">
        <f t="shared" si="11"/>
        <v>0</v>
      </c>
    </row>
    <row r="20" spans="1:21">
      <c r="A20" t="str">
        <f t="shared" si="0"/>
        <v>072</v>
      </c>
      <c r="B20">
        <f t="shared" si="1"/>
        <v>72</v>
      </c>
      <c r="C20" s="14" t="s">
        <v>28</v>
      </c>
      <c r="D20" s="128">
        <v>2372334.13</v>
      </c>
      <c r="E20" s="128">
        <v>292683.87</v>
      </c>
      <c r="F20" s="128">
        <f t="shared" si="2"/>
        <v>2665018</v>
      </c>
      <c r="G20" s="206">
        <v>338.5</v>
      </c>
      <c r="H20" s="207">
        <f t="shared" si="3"/>
        <v>7873.0221565731163</v>
      </c>
      <c r="I20" s="182">
        <f t="shared" si="4"/>
        <v>1.524889091849067E-3</v>
      </c>
      <c r="J20" s="5">
        <f>Calculations!AS20</f>
        <v>2708981.4479678129</v>
      </c>
      <c r="K20" s="5">
        <f t="shared" si="5"/>
        <v>319595.27379488997</v>
      </c>
      <c r="L20" s="5">
        <f t="shared" si="6"/>
        <v>3028576.7217627028</v>
      </c>
      <c r="M20" s="119">
        <f>'Student Enrollment Data'!CK21</f>
        <v>327.5</v>
      </c>
      <c r="N20" s="5">
        <f t="shared" si="12"/>
        <v>9247.5625091990933</v>
      </c>
      <c r="O20" s="248">
        <f>F20*('Front page'!$H$11+1)</f>
        <v>2744968.54</v>
      </c>
      <c r="P20" s="250">
        <f>H20*('Front page'!$H$10+1)</f>
        <v>8266.673264401772</v>
      </c>
      <c r="Q20" s="250">
        <f t="shared" si="7"/>
        <v>2707335.4940915802</v>
      </c>
      <c r="R20" s="250">
        <f t="shared" si="8"/>
        <v>-321241.22767112264</v>
      </c>
      <c r="S20" s="7">
        <f t="shared" si="9"/>
        <v>3028576.7217627028</v>
      </c>
      <c r="T20" s="7">
        <f t="shared" si="10"/>
        <v>0</v>
      </c>
      <c r="U20" s="5">
        <f t="shared" si="11"/>
        <v>0</v>
      </c>
    </row>
    <row r="21" spans="1:21">
      <c r="A21" t="str">
        <f t="shared" si="0"/>
        <v>073</v>
      </c>
      <c r="B21">
        <f t="shared" si="1"/>
        <v>73</v>
      </c>
      <c r="C21" s="14" t="s">
        <v>29</v>
      </c>
      <c r="D21" s="128">
        <v>1780701.61</v>
      </c>
      <c r="E21" s="128">
        <v>209237.87</v>
      </c>
      <c r="F21" s="128">
        <f t="shared" si="2"/>
        <v>1989939.48</v>
      </c>
      <c r="G21" s="206">
        <v>212.5</v>
      </c>
      <c r="H21" s="207">
        <f t="shared" si="3"/>
        <v>9364.4210823529411</v>
      </c>
      <c r="I21" s="182">
        <f t="shared" si="4"/>
        <v>1.13861782790653E-3</v>
      </c>
      <c r="J21" s="5">
        <f>Calculations!AS21</f>
        <v>1977675.5238790149</v>
      </c>
      <c r="K21" s="5">
        <f t="shared" si="5"/>
        <v>228476.66443288999</v>
      </c>
      <c r="L21" s="5">
        <f t="shared" si="6"/>
        <v>2206152.1883119047</v>
      </c>
      <c r="M21" s="119">
        <f>'Student Enrollment Data'!CK22</f>
        <v>220</v>
      </c>
      <c r="N21" s="5">
        <f t="shared" si="12"/>
        <v>10027.964492326839</v>
      </c>
      <c r="O21" s="248">
        <f>F21*('Front page'!$H$11+1)</f>
        <v>2049637.6644000001</v>
      </c>
      <c r="P21" s="250">
        <f>H21*('Front page'!$H$10+1)</f>
        <v>9832.6421364705893</v>
      </c>
      <c r="Q21" s="250">
        <f t="shared" si="7"/>
        <v>2163181.2700235294</v>
      </c>
      <c r="R21" s="250">
        <f t="shared" si="8"/>
        <v>-42970.918288375251</v>
      </c>
      <c r="S21" s="7">
        <f t="shared" si="9"/>
        <v>2206152.1883119047</v>
      </c>
      <c r="T21" s="7">
        <f t="shared" si="10"/>
        <v>0</v>
      </c>
      <c r="U21" s="5">
        <f t="shared" si="11"/>
        <v>0</v>
      </c>
    </row>
    <row r="22" spans="1:21">
      <c r="A22" t="str">
        <f t="shared" si="0"/>
        <v>083</v>
      </c>
      <c r="B22">
        <f t="shared" si="1"/>
        <v>83</v>
      </c>
      <c r="C22" s="14" t="s">
        <v>30</v>
      </c>
      <c r="D22" s="128">
        <v>6027798.5800000001</v>
      </c>
      <c r="E22" s="128">
        <v>733861.17</v>
      </c>
      <c r="F22" s="128">
        <f t="shared" si="2"/>
        <v>6761659.75</v>
      </c>
      <c r="G22" s="206">
        <v>1048</v>
      </c>
      <c r="H22" s="207">
        <f t="shared" si="3"/>
        <v>6451.9654103053435</v>
      </c>
      <c r="I22" s="182">
        <f t="shared" si="4"/>
        <v>3.8689349173513608E-3</v>
      </c>
      <c r="J22" s="5">
        <f>Calculations!AS22</f>
        <v>5970123.073173645</v>
      </c>
      <c r="K22" s="5">
        <f t="shared" si="5"/>
        <v>801337.50299799</v>
      </c>
      <c r="L22" s="5">
        <f t="shared" si="6"/>
        <v>6771460.5761716347</v>
      </c>
      <c r="M22" s="119">
        <f>'Student Enrollment Data'!CK23</f>
        <v>941.27499999999998</v>
      </c>
      <c r="N22" s="5">
        <f t="shared" si="12"/>
        <v>7193.9237482899625</v>
      </c>
      <c r="O22" s="248">
        <f>F22*('Front page'!$H$11+1)</f>
        <v>6964509.5425000004</v>
      </c>
      <c r="P22" s="250">
        <f>H22*('Front page'!$H$10+1)</f>
        <v>6774.5636808206109</v>
      </c>
      <c r="Q22" s="250">
        <f t="shared" si="7"/>
        <v>6376727.4286644207</v>
      </c>
      <c r="R22" s="250">
        <f t="shared" si="8"/>
        <v>-394733.14750721399</v>
      </c>
      <c r="S22" s="7">
        <f t="shared" si="9"/>
        <v>6964509.5425000004</v>
      </c>
      <c r="T22" s="7">
        <f t="shared" si="10"/>
        <v>193048.96632836573</v>
      </c>
      <c r="U22" s="5">
        <f t="shared" si="11"/>
        <v>0</v>
      </c>
    </row>
    <row r="23" spans="1:21">
      <c r="A23" t="str">
        <f t="shared" si="0"/>
        <v>084</v>
      </c>
      <c r="B23">
        <f t="shared" si="1"/>
        <v>84</v>
      </c>
      <c r="C23" s="14" t="s">
        <v>31</v>
      </c>
      <c r="D23" s="128">
        <v>18830959</v>
      </c>
      <c r="E23" s="128">
        <v>2435814</v>
      </c>
      <c r="F23" s="128">
        <f t="shared" si="2"/>
        <v>21266773</v>
      </c>
      <c r="G23" s="206">
        <v>3545.5</v>
      </c>
      <c r="H23" s="207">
        <f t="shared" si="3"/>
        <v>5998.2436891834723</v>
      </c>
      <c r="I23" s="182">
        <f t="shared" si="4"/>
        <v>1.2168574533654278E-2</v>
      </c>
      <c r="J23" s="5">
        <f>Calculations!AS23</f>
        <v>20593397.558996849</v>
      </c>
      <c r="K23" s="5">
        <f t="shared" si="5"/>
        <v>2659779.7898579999</v>
      </c>
      <c r="L23" s="5">
        <f t="shared" si="6"/>
        <v>23253177.348854847</v>
      </c>
      <c r="M23" s="119">
        <f>'Student Enrollment Data'!CK24</f>
        <v>3676.8495798319327</v>
      </c>
      <c r="N23" s="5">
        <f t="shared" si="12"/>
        <v>6324.2123029459744</v>
      </c>
      <c r="O23" s="248">
        <f>F23*('Front page'!$H$11+1)</f>
        <v>21904776.190000001</v>
      </c>
      <c r="P23" s="250">
        <f>H23*('Front page'!$H$10+1)</f>
        <v>6298.1558736426459</v>
      </c>
      <c r="Q23" s="250">
        <f t="shared" si="7"/>
        <v>23157371.777718984</v>
      </c>
      <c r="R23" s="250">
        <f t="shared" si="8"/>
        <v>-95805.571135863662</v>
      </c>
      <c r="S23" s="7">
        <f t="shared" si="9"/>
        <v>23253177.348854847</v>
      </c>
      <c r="T23" s="7">
        <f t="shared" si="10"/>
        <v>0</v>
      </c>
      <c r="U23" s="5">
        <f t="shared" si="11"/>
        <v>0</v>
      </c>
    </row>
    <row r="24" spans="1:21">
      <c r="A24" t="str">
        <f t="shared" si="0"/>
        <v>091</v>
      </c>
      <c r="B24">
        <f t="shared" si="1"/>
        <v>91</v>
      </c>
      <c r="C24" s="14" t="s">
        <v>32</v>
      </c>
      <c r="D24" s="128">
        <v>49629212.129999995</v>
      </c>
      <c r="E24" s="128">
        <v>4910278.6899999995</v>
      </c>
      <c r="F24" s="128">
        <f t="shared" si="2"/>
        <v>54539490.819999993</v>
      </c>
      <c r="G24" s="206">
        <v>9659.5</v>
      </c>
      <c r="H24" s="207">
        <f t="shared" si="3"/>
        <v>5646.202269268595</v>
      </c>
      <c r="I24" s="182">
        <f t="shared" si="4"/>
        <v>3.1206796586897467E-2</v>
      </c>
      <c r="J24" s="5">
        <f>Calculations!AS24</f>
        <v>54201494.390479676</v>
      </c>
      <c r="K24" s="5">
        <f t="shared" si="5"/>
        <v>5361764.0847094292</v>
      </c>
      <c r="L24" s="5">
        <f t="shared" si="6"/>
        <v>59563258.475189105</v>
      </c>
      <c r="M24" s="119">
        <f>'Student Enrollment Data'!CK25</f>
        <v>9797.6269688203156</v>
      </c>
      <c r="N24" s="5">
        <f t="shared" si="12"/>
        <v>6079.3556097554538</v>
      </c>
      <c r="O24" s="248">
        <f>F24*('Front page'!$H$11+1)</f>
        <v>56175675.544599995</v>
      </c>
      <c r="P24" s="250">
        <f>H24*('Front page'!$H$10+1)</f>
        <v>5928.5123827320249</v>
      </c>
      <c r="Q24" s="250">
        <f t="shared" si="7"/>
        <v>58085352.806040473</v>
      </c>
      <c r="R24" s="250">
        <f t="shared" si="8"/>
        <v>-1477905.6691486314</v>
      </c>
      <c r="S24" s="7">
        <f t="shared" si="9"/>
        <v>59563258.475189105</v>
      </c>
      <c r="T24" s="7">
        <f t="shared" si="10"/>
        <v>0</v>
      </c>
      <c r="U24" s="5">
        <f t="shared" si="11"/>
        <v>0</v>
      </c>
    </row>
    <row r="25" spans="1:21">
      <c r="A25" t="str">
        <f t="shared" si="0"/>
        <v>092</v>
      </c>
      <c r="B25">
        <f t="shared" si="1"/>
        <v>92</v>
      </c>
      <c r="C25" s="14" t="s">
        <v>33</v>
      </c>
      <c r="D25" s="128">
        <v>424340.84</v>
      </c>
      <c r="E25" s="128">
        <v>156082.26</v>
      </c>
      <c r="F25" s="128">
        <f t="shared" si="2"/>
        <v>580423.10000000009</v>
      </c>
      <c r="G25" s="206">
        <v>42</v>
      </c>
      <c r="H25" s="207">
        <f t="shared" si="3"/>
        <v>13819.597619047621</v>
      </c>
      <c r="I25" s="182">
        <f t="shared" si="4"/>
        <v>3.321106476005867E-4</v>
      </c>
      <c r="J25" s="5">
        <f>Calculations!AS25</f>
        <v>407114.98904858984</v>
      </c>
      <c r="K25" s="5">
        <f t="shared" si="5"/>
        <v>170433.55556022</v>
      </c>
      <c r="L25" s="5">
        <f t="shared" si="6"/>
        <v>577548.54460880987</v>
      </c>
      <c r="M25" s="119">
        <f>'Student Enrollment Data'!CK26</f>
        <v>40.5</v>
      </c>
      <c r="N25" s="5">
        <f t="shared" si="12"/>
        <v>14260.457891575552</v>
      </c>
      <c r="O25" s="248">
        <f>F25*('Front page'!$H$11+1)</f>
        <v>597835.79300000006</v>
      </c>
      <c r="P25" s="250">
        <f>H25*('Front page'!$H$10+1)</f>
        <v>14510.577500000003</v>
      </c>
      <c r="Q25" s="250">
        <f t="shared" si="7"/>
        <v>587678.38875000016</v>
      </c>
      <c r="R25" s="250">
        <f t="shared" si="8"/>
        <v>0</v>
      </c>
      <c r="S25" s="7">
        <f t="shared" si="9"/>
        <v>597835.79300000006</v>
      </c>
      <c r="T25" s="7">
        <f t="shared" si="10"/>
        <v>20287.248391190195</v>
      </c>
      <c r="U25" s="5">
        <f t="shared" si="11"/>
        <v>2874.5553911902243</v>
      </c>
    </row>
    <row r="26" spans="1:21">
      <c r="A26" t="str">
        <f t="shared" si="0"/>
        <v>093</v>
      </c>
      <c r="B26">
        <f t="shared" si="1"/>
        <v>93</v>
      </c>
      <c r="C26" s="14" t="s">
        <v>34</v>
      </c>
      <c r="D26" s="128">
        <v>59629452.390000001</v>
      </c>
      <c r="E26" s="128">
        <v>7366931.6699999999</v>
      </c>
      <c r="F26" s="128">
        <f t="shared" si="2"/>
        <v>66996384.060000002</v>
      </c>
      <c r="G26" s="206">
        <v>11961</v>
      </c>
      <c r="H26" s="207">
        <f t="shared" si="3"/>
        <v>5601.2360220717337</v>
      </c>
      <c r="I26" s="182">
        <f t="shared" si="4"/>
        <v>3.8334471004107556E-2</v>
      </c>
      <c r="J26" s="5">
        <f>Calculations!AS26</f>
        <v>67366723.24691999</v>
      </c>
      <c r="K26" s="5">
        <f t="shared" si="5"/>
        <v>8044298.93626149</v>
      </c>
      <c r="L26" s="5">
        <f t="shared" si="6"/>
        <v>75411022.18318148</v>
      </c>
      <c r="M26" s="119">
        <f>'Student Enrollment Data'!CK27</f>
        <v>12340.201470588236</v>
      </c>
      <c r="N26" s="5">
        <f t="shared" si="12"/>
        <v>6111.0041325432885</v>
      </c>
      <c r="O26" s="248">
        <f>F26*('Front page'!$H$11+1)</f>
        <v>69006275.581799999</v>
      </c>
      <c r="P26" s="250">
        <f>H26*('Front page'!$H$10+1)</f>
        <v>5881.2978231753204</v>
      </c>
      <c r="Q26" s="250">
        <f t="shared" si="7"/>
        <v>72576400.04651548</v>
      </c>
      <c r="R26" s="250">
        <f t="shared" si="8"/>
        <v>-2834622.1366659999</v>
      </c>
      <c r="S26" s="7">
        <f t="shared" si="9"/>
        <v>75411022.18318148</v>
      </c>
      <c r="T26" s="7">
        <f t="shared" si="10"/>
        <v>0</v>
      </c>
      <c r="U26" s="5">
        <f t="shared" si="11"/>
        <v>0</v>
      </c>
    </row>
    <row r="27" spans="1:21">
      <c r="A27" t="str">
        <f t="shared" si="0"/>
        <v>101</v>
      </c>
      <c r="B27">
        <f t="shared" si="1"/>
        <v>101</v>
      </c>
      <c r="C27" s="14" t="s">
        <v>35</v>
      </c>
      <c r="D27" s="128">
        <v>7777140.5699999994</v>
      </c>
      <c r="E27" s="128">
        <v>839863.17</v>
      </c>
      <c r="F27" s="128">
        <f t="shared" si="2"/>
        <v>8617003.7400000002</v>
      </c>
      <c r="G27" s="206">
        <v>1407.5</v>
      </c>
      <c r="H27" s="207">
        <f t="shared" si="3"/>
        <v>6122.2051438721137</v>
      </c>
      <c r="I27" s="182">
        <f t="shared" si="4"/>
        <v>4.9305389335263829E-3</v>
      </c>
      <c r="J27" s="5">
        <f>Calculations!AS27</f>
        <v>8241564.3710922208</v>
      </c>
      <c r="K27" s="5">
        <f t="shared" si="5"/>
        <v>917086.06889199</v>
      </c>
      <c r="L27" s="5">
        <f t="shared" si="6"/>
        <v>9158650.4399842098</v>
      </c>
      <c r="M27" s="119">
        <f>'Student Enrollment Data'!CK28</f>
        <v>1365.0419117647059</v>
      </c>
      <c r="N27" s="5">
        <f t="shared" si="12"/>
        <v>6709.4280117333856</v>
      </c>
      <c r="O27" s="248">
        <f>F27*('Front page'!$H$11+1)</f>
        <v>8875513.8521999996</v>
      </c>
      <c r="P27" s="250">
        <f>H27*('Front page'!$H$10+1)</f>
        <v>6428.3154010657199</v>
      </c>
      <c r="Q27" s="250">
        <f t="shared" si="7"/>
        <v>8774919.9444972519</v>
      </c>
      <c r="R27" s="250">
        <f t="shared" si="8"/>
        <v>-383730.49548695795</v>
      </c>
      <c r="S27" s="7">
        <f t="shared" si="9"/>
        <v>9158650.4399842098</v>
      </c>
      <c r="T27" s="7">
        <f t="shared" si="10"/>
        <v>0</v>
      </c>
      <c r="U27" s="5">
        <f t="shared" si="11"/>
        <v>0</v>
      </c>
    </row>
    <row r="28" spans="1:21">
      <c r="A28" t="str">
        <f t="shared" si="0"/>
        <v>111</v>
      </c>
      <c r="B28">
        <f t="shared" si="1"/>
        <v>111</v>
      </c>
      <c r="C28" s="14" t="s">
        <v>36</v>
      </c>
      <c r="D28" s="128">
        <v>2852186.2300000004</v>
      </c>
      <c r="E28" s="128">
        <v>339513.04000000004</v>
      </c>
      <c r="F28" s="128">
        <f t="shared" si="2"/>
        <v>3191699.2700000005</v>
      </c>
      <c r="G28" s="206">
        <v>405.5</v>
      </c>
      <c r="H28" s="207">
        <f t="shared" si="3"/>
        <v>7871.0216276202227</v>
      </c>
      <c r="I28" s="182">
        <f t="shared" si="4"/>
        <v>1.8262493541453119E-3</v>
      </c>
      <c r="J28" s="5">
        <f>Calculations!AS28</f>
        <v>3203820.5690674409</v>
      </c>
      <c r="K28" s="5">
        <f t="shared" si="5"/>
        <v>370730.24548888003</v>
      </c>
      <c r="L28" s="5">
        <f t="shared" si="6"/>
        <v>3574550.8145563211</v>
      </c>
      <c r="M28" s="119">
        <f>'Student Enrollment Data'!CK29</f>
        <v>402</v>
      </c>
      <c r="N28" s="5">
        <f t="shared" si="12"/>
        <v>8891.9174491450776</v>
      </c>
      <c r="O28" s="248">
        <f>F28*('Front page'!$H$11+1)</f>
        <v>3287450.2481000004</v>
      </c>
      <c r="P28" s="250">
        <f>H28*('Front page'!$H$10+1)</f>
        <v>8264.5727090012333</v>
      </c>
      <c r="Q28" s="250">
        <f t="shared" si="7"/>
        <v>3322358.2290184959</v>
      </c>
      <c r="R28" s="250">
        <f t="shared" si="8"/>
        <v>-252192.58553782525</v>
      </c>
      <c r="S28" s="7">
        <f t="shared" si="9"/>
        <v>3574550.8145563211</v>
      </c>
      <c r="T28" s="7">
        <f t="shared" si="10"/>
        <v>0</v>
      </c>
      <c r="U28" s="5">
        <f t="shared" si="11"/>
        <v>0</v>
      </c>
    </row>
    <row r="29" spans="1:21">
      <c r="A29" t="str">
        <f t="shared" si="0"/>
        <v>121</v>
      </c>
      <c r="B29">
        <f t="shared" si="1"/>
        <v>121</v>
      </c>
      <c r="C29" s="14" t="s">
        <v>37</v>
      </c>
      <c r="D29" s="128">
        <v>1572296.6300000001</v>
      </c>
      <c r="E29" s="128">
        <v>156614.87</v>
      </c>
      <c r="F29" s="128">
        <f t="shared" si="2"/>
        <v>1728911.5</v>
      </c>
      <c r="G29" s="206">
        <v>147</v>
      </c>
      <c r="H29" s="207">
        <f t="shared" si="3"/>
        <v>11761.302721088436</v>
      </c>
      <c r="I29" s="182">
        <f t="shared" si="4"/>
        <v>9.8926096826453262E-4</v>
      </c>
      <c r="J29" s="5">
        <f>Calculations!AS29</f>
        <v>1720918.153228892</v>
      </c>
      <c r="K29" s="5">
        <f t="shared" si="5"/>
        <v>171015.13745188998</v>
      </c>
      <c r="L29" s="5">
        <f t="shared" si="6"/>
        <v>1891933.2906807819</v>
      </c>
      <c r="M29" s="119">
        <f>'Student Enrollment Data'!CK30</f>
        <v>165.5</v>
      </c>
      <c r="N29" s="5">
        <f t="shared" si="12"/>
        <v>11431.62109172678</v>
      </c>
      <c r="O29" s="248">
        <f>F29*('Front page'!$H$11+1)</f>
        <v>1780778.845</v>
      </c>
      <c r="P29" s="250">
        <f>H29*('Front page'!$H$10+1)</f>
        <v>12349.367857142857</v>
      </c>
      <c r="Q29" s="250">
        <f t="shared" si="7"/>
        <v>2043820.3803571428</v>
      </c>
      <c r="R29" s="250">
        <f t="shared" si="8"/>
        <v>0</v>
      </c>
      <c r="S29" s="7">
        <f t="shared" si="9"/>
        <v>1891933.2906807819</v>
      </c>
      <c r="T29" s="7">
        <f t="shared" si="10"/>
        <v>0</v>
      </c>
      <c r="U29" s="5">
        <f t="shared" si="11"/>
        <v>0</v>
      </c>
    </row>
    <row r="30" spans="1:21">
      <c r="A30" t="str">
        <f t="shared" si="0"/>
        <v>131</v>
      </c>
      <c r="B30">
        <f t="shared" si="1"/>
        <v>131</v>
      </c>
      <c r="C30" s="14" t="s">
        <v>38</v>
      </c>
      <c r="D30" s="128">
        <v>69615086.549999997</v>
      </c>
      <c r="E30" s="128">
        <v>10525891.67</v>
      </c>
      <c r="F30" s="128">
        <f t="shared" si="2"/>
        <v>80140978.219999999</v>
      </c>
      <c r="G30" s="206">
        <v>13569</v>
      </c>
      <c r="H30" s="207">
        <f t="shared" si="3"/>
        <v>5906.181606603287</v>
      </c>
      <c r="I30" s="182">
        <f t="shared" si="4"/>
        <v>4.5855639060521036E-2</v>
      </c>
      <c r="J30" s="5">
        <f>Calculations!AS30</f>
        <v>75745883.338610157</v>
      </c>
      <c r="K30" s="5">
        <f t="shared" si="5"/>
        <v>11493715.83138149</v>
      </c>
      <c r="L30" s="5">
        <f t="shared" si="6"/>
        <v>87239599.169991642</v>
      </c>
      <c r="M30" s="119">
        <f>'Student Enrollment Data'!CK31</f>
        <v>13462.635900980393</v>
      </c>
      <c r="N30" s="5">
        <f t="shared" si="12"/>
        <v>6480.1276519435969</v>
      </c>
      <c r="O30" s="248">
        <f>F30*('Front page'!$H$11+1)</f>
        <v>82545207.566599995</v>
      </c>
      <c r="P30" s="250">
        <f>H30*('Front page'!$H$10+1)</f>
        <v>6201.4906869334518</v>
      </c>
      <c r="Q30" s="250">
        <f t="shared" si="7"/>
        <v>83488411.161505848</v>
      </c>
      <c r="R30" s="250">
        <f t="shared" si="8"/>
        <v>-3751188.0084857941</v>
      </c>
      <c r="S30" s="7">
        <f t="shared" si="9"/>
        <v>87239599.169991642</v>
      </c>
      <c r="T30" s="7">
        <f t="shared" si="10"/>
        <v>0</v>
      </c>
      <c r="U30" s="5">
        <f t="shared" si="11"/>
        <v>0</v>
      </c>
    </row>
    <row r="31" spans="1:21">
      <c r="A31" t="str">
        <f t="shared" si="0"/>
        <v>132</v>
      </c>
      <c r="B31">
        <f t="shared" si="1"/>
        <v>132</v>
      </c>
      <c r="C31" s="14" t="s">
        <v>39</v>
      </c>
      <c r="D31" s="128">
        <v>30934240.68</v>
      </c>
      <c r="E31" s="128">
        <v>5052384.3800000008</v>
      </c>
      <c r="F31" s="128">
        <f t="shared" si="2"/>
        <v>35986625.060000002</v>
      </c>
      <c r="G31" s="206">
        <v>6096.5</v>
      </c>
      <c r="H31" s="207">
        <f t="shared" si="3"/>
        <v>5902.8336028869026</v>
      </c>
      <c r="I31" s="182">
        <f t="shared" si="4"/>
        <v>2.0591084940685681E-2</v>
      </c>
      <c r="J31" s="5">
        <f>Calculations!AS31</f>
        <v>34314965.977701232</v>
      </c>
      <c r="K31" s="5">
        <f t="shared" si="5"/>
        <v>5516935.9665878611</v>
      </c>
      <c r="L31" s="5">
        <f t="shared" si="6"/>
        <v>39831901.944289096</v>
      </c>
      <c r="M31" s="119">
        <f>'Student Enrollment Data'!CK32</f>
        <v>6110.0209203036056</v>
      </c>
      <c r="N31" s="5">
        <f t="shared" si="12"/>
        <v>6519.1105666966941</v>
      </c>
      <c r="O31" s="248">
        <f>F31*('Front page'!$H$11+1)</f>
        <v>37066223.811800003</v>
      </c>
      <c r="P31" s="250">
        <f>H31*('Front page'!$H$10+1)</f>
        <v>6197.9752830312482</v>
      </c>
      <c r="Q31" s="250">
        <f t="shared" si="7"/>
        <v>37869758.642845586</v>
      </c>
      <c r="R31" s="250">
        <f t="shared" si="8"/>
        <v>-1962143.3014435098</v>
      </c>
      <c r="S31" s="7">
        <f t="shared" si="9"/>
        <v>39831901.944289096</v>
      </c>
      <c r="T31" s="7">
        <f t="shared" si="10"/>
        <v>0</v>
      </c>
      <c r="U31" s="5">
        <f t="shared" si="11"/>
        <v>0</v>
      </c>
    </row>
    <row r="32" spans="1:21">
      <c r="A32" t="str">
        <f t="shared" si="0"/>
        <v>133</v>
      </c>
      <c r="B32">
        <f t="shared" si="1"/>
        <v>133</v>
      </c>
      <c r="C32" s="14" t="s">
        <v>40</v>
      </c>
      <c r="D32" s="128">
        <v>3153707</v>
      </c>
      <c r="E32" s="128">
        <v>480360</v>
      </c>
      <c r="F32" s="128">
        <f t="shared" si="2"/>
        <v>3634067</v>
      </c>
      <c r="G32" s="206">
        <v>485.5</v>
      </c>
      <c r="H32" s="207">
        <f t="shared" si="3"/>
        <v>7485.2049433573638</v>
      </c>
      <c r="I32" s="182">
        <f t="shared" si="4"/>
        <v>2.0793664910888645E-3</v>
      </c>
      <c r="J32" s="5">
        <f>Calculations!AS32</f>
        <v>3611245.0776328486</v>
      </c>
      <c r="K32" s="5">
        <f t="shared" si="5"/>
        <v>524527.66092000005</v>
      </c>
      <c r="L32" s="5">
        <f t="shared" si="6"/>
        <v>4135772.7385528488</v>
      </c>
      <c r="M32" s="119">
        <f>'Student Enrollment Data'!CK33</f>
        <v>499.5</v>
      </c>
      <c r="N32" s="5">
        <f t="shared" si="12"/>
        <v>8279.8253024081059</v>
      </c>
      <c r="O32" s="248">
        <f>F32*('Front page'!$H$11+1)</f>
        <v>3743089.0100000002</v>
      </c>
      <c r="P32" s="250">
        <f>H32*('Front page'!$H$10+1)</f>
        <v>7859.4651905252322</v>
      </c>
      <c r="Q32" s="250">
        <f t="shared" si="7"/>
        <v>3925802.8626673534</v>
      </c>
      <c r="R32" s="250">
        <f t="shared" si="8"/>
        <v>-209969.87588549545</v>
      </c>
      <c r="S32" s="7">
        <f t="shared" si="9"/>
        <v>4135772.7385528488</v>
      </c>
      <c r="T32" s="7">
        <f t="shared" si="10"/>
        <v>0</v>
      </c>
      <c r="U32" s="5">
        <f t="shared" si="11"/>
        <v>0</v>
      </c>
    </row>
    <row r="33" spans="1:21">
      <c r="A33" t="str">
        <f t="shared" si="0"/>
        <v>134</v>
      </c>
      <c r="B33">
        <f t="shared" si="1"/>
        <v>134</v>
      </c>
      <c r="C33" s="14" t="s">
        <v>41</v>
      </c>
      <c r="D33" s="128">
        <v>19601899</v>
      </c>
      <c r="E33" s="128">
        <v>3281167</v>
      </c>
      <c r="F33" s="128">
        <f t="shared" si="2"/>
        <v>22883066</v>
      </c>
      <c r="G33" s="206">
        <v>3868.5</v>
      </c>
      <c r="H33" s="207">
        <f t="shared" si="3"/>
        <v>5915.229675584852</v>
      </c>
      <c r="I33" s="182">
        <f t="shared" si="4"/>
        <v>1.3093396641772123E-2</v>
      </c>
      <c r="J33" s="5">
        <f>Calculations!AS33</f>
        <v>21528422.644652743</v>
      </c>
      <c r="K33" s="5">
        <f t="shared" si="5"/>
        <v>3582860.4621489998</v>
      </c>
      <c r="L33" s="5">
        <f t="shared" si="6"/>
        <v>25111283.106801741</v>
      </c>
      <c r="M33" s="119">
        <f>'Student Enrollment Data'!CK34</f>
        <v>3930.247549019608</v>
      </c>
      <c r="N33" s="5">
        <f t="shared" si="12"/>
        <v>6389.2370120721016</v>
      </c>
      <c r="O33" s="248">
        <f>F33*('Front page'!$H$11+1)</f>
        <v>23569557.98</v>
      </c>
      <c r="P33" s="250">
        <f>H33*('Front page'!$H$10+1)</f>
        <v>6210.9911593640945</v>
      </c>
      <c r="Q33" s="250">
        <f t="shared" si="7"/>
        <v>24410732.781073187</v>
      </c>
      <c r="R33" s="250">
        <f t="shared" si="8"/>
        <v>-700550.32572855428</v>
      </c>
      <c r="S33" s="7">
        <f t="shared" si="9"/>
        <v>25111283.106801741</v>
      </c>
      <c r="T33" s="7">
        <f t="shared" si="10"/>
        <v>0</v>
      </c>
      <c r="U33" s="5">
        <f t="shared" si="11"/>
        <v>0</v>
      </c>
    </row>
    <row r="34" spans="1:21">
      <c r="A34" t="str">
        <f t="shared" si="0"/>
        <v>135</v>
      </c>
      <c r="B34">
        <f t="shared" si="1"/>
        <v>135</v>
      </c>
      <c r="C34" s="14" t="s">
        <v>42</v>
      </c>
      <c r="D34" s="128">
        <v>2836218</v>
      </c>
      <c r="E34" s="128">
        <v>408494</v>
      </c>
      <c r="F34" s="128">
        <f t="shared" si="2"/>
        <v>3244712</v>
      </c>
      <c r="G34" s="206">
        <v>399.5</v>
      </c>
      <c r="H34" s="207">
        <f t="shared" si="3"/>
        <v>8121.932415519399</v>
      </c>
      <c r="I34" s="182">
        <f t="shared" si="4"/>
        <v>1.8565825577882662E-3</v>
      </c>
      <c r="J34" s="5">
        <f>Calculations!AS34</f>
        <v>3220349.8974319259</v>
      </c>
      <c r="K34" s="5">
        <f t="shared" si="5"/>
        <v>446053.79781800002</v>
      </c>
      <c r="L34" s="5">
        <f t="shared" si="6"/>
        <v>3666403.6952499258</v>
      </c>
      <c r="M34" s="119">
        <f>'Student Enrollment Data'!CK35</f>
        <v>413.5</v>
      </c>
      <c r="N34" s="5">
        <f t="shared" si="12"/>
        <v>8866.756215840207</v>
      </c>
      <c r="O34" s="248">
        <f>F34*('Front page'!$H$11+1)</f>
        <v>3342053.36</v>
      </c>
      <c r="P34" s="250">
        <f>H34*('Front page'!$H$10+1)</f>
        <v>8528.0290362953692</v>
      </c>
      <c r="Q34" s="250">
        <f t="shared" si="7"/>
        <v>3526340.0065081352</v>
      </c>
      <c r="R34" s="250">
        <f t="shared" si="8"/>
        <v>-140063.6887417906</v>
      </c>
      <c r="S34" s="7">
        <f t="shared" si="9"/>
        <v>3666403.6952499258</v>
      </c>
      <c r="T34" s="7">
        <f t="shared" si="10"/>
        <v>0</v>
      </c>
      <c r="U34" s="5">
        <f t="shared" si="11"/>
        <v>0</v>
      </c>
    </row>
    <row r="35" spans="1:21">
      <c r="A35" t="str">
        <f t="shared" si="0"/>
        <v>136</v>
      </c>
      <c r="B35">
        <f t="shared" si="1"/>
        <v>136</v>
      </c>
      <c r="C35" s="14" t="s">
        <v>43</v>
      </c>
      <c r="D35" s="128">
        <v>4705297.74</v>
      </c>
      <c r="E35" s="128">
        <v>647622.92999999993</v>
      </c>
      <c r="F35" s="128">
        <f t="shared" si="2"/>
        <v>5352920.67</v>
      </c>
      <c r="G35" s="206">
        <v>817</v>
      </c>
      <c r="H35" s="207">
        <f t="shared" ref="H35:H98" si="13">SUM(F35/G35)</f>
        <v>6551.9224847001224</v>
      </c>
      <c r="I35" s="182">
        <f t="shared" si="4"/>
        <v>3.0628724981281172E-3</v>
      </c>
      <c r="J35" s="5">
        <f>Calculations!AS35</f>
        <v>5156205.3497656118</v>
      </c>
      <c r="K35" s="5">
        <f t="shared" si="5"/>
        <v>707169.91554470989</v>
      </c>
      <c r="L35" s="5">
        <f t="shared" si="6"/>
        <v>5863375.2653103219</v>
      </c>
      <c r="M35" s="119">
        <f>'Student Enrollment Data'!CK36</f>
        <v>837</v>
      </c>
      <c r="N35" s="5">
        <f t="shared" si="12"/>
        <v>7005.2273181724277</v>
      </c>
      <c r="O35" s="248">
        <f>F35*('Front page'!$H$11+1)</f>
        <v>5513508.2900999999</v>
      </c>
      <c r="P35" s="250">
        <f>H35*('Front page'!$H$10+1)</f>
        <v>6879.5186089351291</v>
      </c>
      <c r="Q35" s="250">
        <f t="shared" ref="Q35:Q66" si="14">P35*M35</f>
        <v>5758157.0756787034</v>
      </c>
      <c r="R35" s="250">
        <f t="shared" ref="R35:R66" si="15">IF(H35=0,0,IF(Q35&lt;L35,Q35-L35,0))</f>
        <v>-105218.18963161856</v>
      </c>
      <c r="S35" s="7">
        <f t="shared" ref="S35:S66" si="16">MAX(O35,F35,L35)</f>
        <v>5863375.2653103219</v>
      </c>
      <c r="T35" s="7">
        <f t="shared" ref="T35:T66" si="17">S35-L35</f>
        <v>0</v>
      </c>
      <c r="U35" s="5">
        <f t="shared" ref="U35:U66" si="18">MAX(L35,F35)-L35</f>
        <v>0</v>
      </c>
    </row>
    <row r="36" spans="1:21">
      <c r="A36" t="str">
        <f t="shared" si="0"/>
        <v>137</v>
      </c>
      <c r="B36">
        <f t="shared" si="1"/>
        <v>137</v>
      </c>
      <c r="C36" s="14" t="s">
        <v>44</v>
      </c>
      <c r="D36" s="128">
        <v>5828799.8799999999</v>
      </c>
      <c r="E36" s="128">
        <v>1037067.69</v>
      </c>
      <c r="F36" s="128">
        <f t="shared" si="2"/>
        <v>6865867.5700000003</v>
      </c>
      <c r="G36" s="206">
        <v>1032</v>
      </c>
      <c r="H36" s="207">
        <f t="shared" si="13"/>
        <v>6652.9724515503876</v>
      </c>
      <c r="I36" s="182">
        <f t="shared" si="4"/>
        <v>3.9285612943602112E-3</v>
      </c>
      <c r="J36" s="5">
        <f>Calculations!AS36</f>
        <v>6303057.9390178761</v>
      </c>
      <c r="K36" s="5">
        <f t="shared" si="5"/>
        <v>1132422.9528924299</v>
      </c>
      <c r="L36" s="5">
        <f t="shared" si="6"/>
        <v>7435480.8919103062</v>
      </c>
      <c r="M36" s="119">
        <f>'Student Enrollment Data'!CK37</f>
        <v>1031</v>
      </c>
      <c r="N36" s="5">
        <f t="shared" si="12"/>
        <v>7211.9116313388031</v>
      </c>
      <c r="O36" s="248">
        <f>F36*('Front page'!$H$11+1)</f>
        <v>7071843.5971000008</v>
      </c>
      <c r="P36" s="250">
        <f>H36*('Front page'!$H$10+1)</f>
        <v>6985.6210741279074</v>
      </c>
      <c r="Q36" s="250">
        <f t="shared" si="14"/>
        <v>7202175.3274258729</v>
      </c>
      <c r="R36" s="250">
        <f t="shared" si="15"/>
        <v>-233305.56448443327</v>
      </c>
      <c r="S36" s="7">
        <f t="shared" si="16"/>
        <v>7435480.8919103062</v>
      </c>
      <c r="T36" s="7">
        <f t="shared" si="17"/>
        <v>0</v>
      </c>
      <c r="U36" s="5">
        <f t="shared" si="18"/>
        <v>0</v>
      </c>
    </row>
    <row r="37" spans="1:21">
      <c r="A37" t="str">
        <f t="shared" si="0"/>
        <v>139</v>
      </c>
      <c r="B37">
        <f t="shared" si="1"/>
        <v>139</v>
      </c>
      <c r="C37" s="14" t="s">
        <v>45</v>
      </c>
      <c r="D37" s="128">
        <v>42769998</v>
      </c>
      <c r="E37" s="128">
        <v>8539774</v>
      </c>
      <c r="F37" s="128">
        <f t="shared" si="2"/>
        <v>51309772</v>
      </c>
      <c r="G37" s="206">
        <v>8356.5</v>
      </c>
      <c r="H37" s="207">
        <f t="shared" si="13"/>
        <v>6140.1031532340094</v>
      </c>
      <c r="I37" s="182">
        <f t="shared" si="4"/>
        <v>2.9358792934255109E-2</v>
      </c>
      <c r="J37" s="5">
        <f>Calculations!AS37</f>
        <v>48812786.097348109</v>
      </c>
      <c r="K37" s="5">
        <f t="shared" si="5"/>
        <v>9324980.5999779999</v>
      </c>
      <c r="L37" s="5">
        <f t="shared" si="6"/>
        <v>58137766.697326109</v>
      </c>
      <c r="M37" s="119">
        <f>'Student Enrollment Data'!CK38</f>
        <v>8689.1654411764703</v>
      </c>
      <c r="N37" s="5">
        <f t="shared" si="12"/>
        <v>6690.8343604347965</v>
      </c>
      <c r="O37" s="248">
        <f>F37*('Front page'!$H$11+1)</f>
        <v>52849065.160000004</v>
      </c>
      <c r="P37" s="250">
        <f>H37*('Front page'!$H$10+1)</f>
        <v>6447.10831089571</v>
      </c>
      <c r="Q37" s="250">
        <f t="shared" si="14"/>
        <v>56019990.730556607</v>
      </c>
      <c r="R37" s="250">
        <f t="shared" si="15"/>
        <v>-2117775.9667695016</v>
      </c>
      <c r="S37" s="7">
        <f t="shared" si="16"/>
        <v>58137766.697326109</v>
      </c>
      <c r="T37" s="7">
        <f t="shared" si="17"/>
        <v>0</v>
      </c>
      <c r="U37" s="5">
        <f t="shared" si="18"/>
        <v>0</v>
      </c>
    </row>
    <row r="38" spans="1:21">
      <c r="A38" t="str">
        <f t="shared" si="0"/>
        <v>148</v>
      </c>
      <c r="B38">
        <f t="shared" si="1"/>
        <v>148</v>
      </c>
      <c r="C38" s="14" t="s">
        <v>46</v>
      </c>
      <c r="D38" s="128">
        <v>3551647.9</v>
      </c>
      <c r="E38" s="128">
        <v>383152.35</v>
      </c>
      <c r="F38" s="128">
        <f t="shared" si="2"/>
        <v>3934800.25</v>
      </c>
      <c r="G38" s="206">
        <v>490.5</v>
      </c>
      <c r="H38" s="207">
        <f t="shared" si="13"/>
        <v>8022.0188583078489</v>
      </c>
      <c r="I38" s="182">
        <f t="shared" si="4"/>
        <v>2.2514421965742753E-3</v>
      </c>
      <c r="J38" s="5">
        <f>Calculations!AS38</f>
        <v>3902693.658118343</v>
      </c>
      <c r="K38" s="5">
        <f t="shared" si="5"/>
        <v>418382.05912544997</v>
      </c>
      <c r="L38" s="5">
        <f t="shared" si="6"/>
        <v>4321075.7172437925</v>
      </c>
      <c r="M38" s="119">
        <f>'Student Enrollment Data'!CK39</f>
        <v>502.5</v>
      </c>
      <c r="N38" s="5">
        <f t="shared" si="12"/>
        <v>8599.1556562065525</v>
      </c>
      <c r="O38" s="248">
        <f>F38*('Front page'!$H$11+1)</f>
        <v>4052844.2575000003</v>
      </c>
      <c r="P38" s="250">
        <f>H38*('Front page'!$H$10+1)</f>
        <v>8423.1198012232417</v>
      </c>
      <c r="Q38" s="250">
        <f t="shared" si="14"/>
        <v>4232617.7001146786</v>
      </c>
      <c r="R38" s="250">
        <f t="shared" si="15"/>
        <v>-88458.017129113898</v>
      </c>
      <c r="S38" s="7">
        <f t="shared" si="16"/>
        <v>4321075.7172437925</v>
      </c>
      <c r="T38" s="7">
        <f t="shared" si="17"/>
        <v>0</v>
      </c>
      <c r="U38" s="5">
        <f t="shared" si="18"/>
        <v>0</v>
      </c>
    </row>
    <row r="39" spans="1:21">
      <c r="A39" t="str">
        <f t="shared" si="0"/>
        <v>149</v>
      </c>
      <c r="B39">
        <f t="shared" si="1"/>
        <v>149</v>
      </c>
      <c r="C39" s="14" t="s">
        <v>47</v>
      </c>
      <c r="D39" s="128">
        <v>1513242.93</v>
      </c>
      <c r="E39" s="128">
        <v>172623.7</v>
      </c>
      <c r="F39" s="128">
        <f t="shared" si="2"/>
        <v>1685866.63</v>
      </c>
      <c r="G39" s="206">
        <v>157.5</v>
      </c>
      <c r="H39" s="207">
        <f t="shared" si="13"/>
        <v>10703.91511111111</v>
      </c>
      <c r="I39" s="182">
        <f t="shared" si="4"/>
        <v>9.6463124616769818E-4</v>
      </c>
      <c r="J39" s="5">
        <f>Calculations!AS39</f>
        <v>1647422.4285795968</v>
      </c>
      <c r="K39" s="5">
        <f t="shared" si="5"/>
        <v>188495.93134390001</v>
      </c>
      <c r="L39" s="5">
        <f t="shared" si="6"/>
        <v>1835918.3599234968</v>
      </c>
      <c r="M39" s="119">
        <f>'Student Enrollment Data'!CK40</f>
        <v>157</v>
      </c>
      <c r="N39" s="5">
        <f t="shared" si="12"/>
        <v>11693.747515436286</v>
      </c>
      <c r="O39" s="248">
        <f>F39*('Front page'!$H$11+1)</f>
        <v>1736442.6288999999</v>
      </c>
      <c r="P39" s="250">
        <f>H39*('Front page'!$H$10+1)</f>
        <v>11239.110866666666</v>
      </c>
      <c r="Q39" s="250">
        <f t="shared" si="14"/>
        <v>1764540.4060666666</v>
      </c>
      <c r="R39" s="250">
        <f t="shared" si="15"/>
        <v>-71377.953856830252</v>
      </c>
      <c r="S39" s="7">
        <f t="shared" si="16"/>
        <v>1835918.3599234968</v>
      </c>
      <c r="T39" s="7">
        <f t="shared" si="17"/>
        <v>0</v>
      </c>
      <c r="U39" s="5">
        <f t="shared" si="18"/>
        <v>0</v>
      </c>
    </row>
    <row r="40" spans="1:21">
      <c r="A40" t="str">
        <f t="shared" si="0"/>
        <v>150</v>
      </c>
      <c r="B40">
        <f t="shared" si="1"/>
        <v>150</v>
      </c>
      <c r="C40" s="14" t="s">
        <v>48</v>
      </c>
      <c r="D40" s="128">
        <v>4667848.3500000006</v>
      </c>
      <c r="E40" s="128">
        <v>652254.32999999996</v>
      </c>
      <c r="F40" s="128">
        <f t="shared" si="2"/>
        <v>5320102.6800000006</v>
      </c>
      <c r="G40" s="206">
        <v>806</v>
      </c>
      <c r="H40" s="207">
        <f t="shared" si="13"/>
        <v>6600.6236724565761</v>
      </c>
      <c r="I40" s="182">
        <f t="shared" si="4"/>
        <v>3.044094465496664E-3</v>
      </c>
      <c r="J40" s="5">
        <f>Calculations!AS40</f>
        <v>5304604.2595676789</v>
      </c>
      <c r="K40" s="5">
        <f t="shared" si="5"/>
        <v>712227.1588805099</v>
      </c>
      <c r="L40" s="5">
        <f t="shared" si="6"/>
        <v>6016831.4184481893</v>
      </c>
      <c r="M40" s="119">
        <f>'Student Enrollment Data'!CK41</f>
        <v>851</v>
      </c>
      <c r="N40" s="5">
        <f t="shared" si="12"/>
        <v>7070.3071897158507</v>
      </c>
      <c r="O40" s="248">
        <f>F40*('Front page'!$H$11+1)</f>
        <v>5479705.760400001</v>
      </c>
      <c r="P40" s="250">
        <f>H40*('Front page'!$H$10+1)</f>
        <v>6930.6548560794054</v>
      </c>
      <c r="Q40" s="250">
        <f t="shared" si="14"/>
        <v>5897987.2825235743</v>
      </c>
      <c r="R40" s="250">
        <f t="shared" si="15"/>
        <v>-118844.13592461497</v>
      </c>
      <c r="S40" s="7">
        <f t="shared" si="16"/>
        <v>6016831.4184481893</v>
      </c>
      <c r="T40" s="7">
        <f t="shared" si="17"/>
        <v>0</v>
      </c>
      <c r="U40" s="5">
        <f t="shared" si="18"/>
        <v>0</v>
      </c>
    </row>
    <row r="41" spans="1:21">
      <c r="A41" t="str">
        <f t="shared" si="0"/>
        <v>151</v>
      </c>
      <c r="B41">
        <f t="shared" si="1"/>
        <v>151</v>
      </c>
      <c r="C41" s="14" t="s">
        <v>49</v>
      </c>
      <c r="D41" s="128">
        <v>28716163.939999998</v>
      </c>
      <c r="E41" s="128">
        <v>3122357.82</v>
      </c>
      <c r="F41" s="128">
        <f t="shared" si="2"/>
        <v>31838521.759999998</v>
      </c>
      <c r="G41" s="206">
        <v>5220.5</v>
      </c>
      <c r="H41" s="207">
        <f t="shared" si="13"/>
        <v>6098.749499090125</v>
      </c>
      <c r="I41" s="182">
        <f t="shared" si="4"/>
        <v>1.8217593476825729E-2</v>
      </c>
      <c r="J41" s="5">
        <f>Calculations!AS41</f>
        <v>30342953.487921648</v>
      </c>
      <c r="K41" s="5">
        <f t="shared" si="5"/>
        <v>3409449.25447554</v>
      </c>
      <c r="L41" s="5">
        <f t="shared" si="6"/>
        <v>33752402.742397189</v>
      </c>
      <c r="M41" s="119">
        <f>'Student Enrollment Data'!CK42</f>
        <v>5245.4730392156862</v>
      </c>
      <c r="N41" s="5">
        <f t="shared" si="12"/>
        <v>6434.5774899729377</v>
      </c>
      <c r="O41" s="248">
        <f>F41*('Front page'!$H$11+1)</f>
        <v>32793677.412799999</v>
      </c>
      <c r="P41" s="250">
        <f>H41*('Front page'!$H$10+1)</f>
        <v>6403.6869740446318</v>
      </c>
      <c r="Q41" s="250">
        <f t="shared" si="14"/>
        <v>33590367.373927794</v>
      </c>
      <c r="R41" s="250">
        <f t="shared" si="15"/>
        <v>-162035.36846939474</v>
      </c>
      <c r="S41" s="7">
        <f t="shared" si="16"/>
        <v>33752402.742397189</v>
      </c>
      <c r="T41" s="7">
        <f t="shared" si="17"/>
        <v>0</v>
      </c>
      <c r="U41" s="5">
        <f t="shared" si="18"/>
        <v>0</v>
      </c>
    </row>
    <row r="42" spans="1:21">
      <c r="A42" t="str">
        <f t="shared" si="0"/>
        <v>161</v>
      </c>
      <c r="B42">
        <f t="shared" si="1"/>
        <v>161</v>
      </c>
      <c r="C42" s="14" t="s">
        <v>50</v>
      </c>
      <c r="D42" s="128">
        <v>1436622.92</v>
      </c>
      <c r="E42" s="128">
        <v>157618.51</v>
      </c>
      <c r="F42" s="128">
        <f t="shared" si="2"/>
        <v>1594241.43</v>
      </c>
      <c r="G42" s="206">
        <v>131</v>
      </c>
      <c r="H42" s="207">
        <f t="shared" si="13"/>
        <v>12169.781908396946</v>
      </c>
      <c r="I42" s="182">
        <f t="shared" si="4"/>
        <v>9.1220448281432163E-4</v>
      </c>
      <c r="J42" s="5">
        <f>Calculations!AS42</f>
        <v>1489172.4410467704</v>
      </c>
      <c r="K42" s="5">
        <f t="shared" si="5"/>
        <v>172111.05913897001</v>
      </c>
      <c r="L42" s="5">
        <f t="shared" si="6"/>
        <v>1661283.5001857404</v>
      </c>
      <c r="M42" s="119">
        <f>'Student Enrollment Data'!CK43</f>
        <v>116</v>
      </c>
      <c r="N42" s="5">
        <f t="shared" si="12"/>
        <v>14321.40948435983</v>
      </c>
      <c r="O42" s="248">
        <f>F42*('Front page'!$H$11+1)</f>
        <v>1642068.6728999999</v>
      </c>
      <c r="P42" s="250">
        <f>H42*('Front page'!$H$10+1)</f>
        <v>12778.271003816793</v>
      </c>
      <c r="Q42" s="250">
        <f t="shared" si="14"/>
        <v>1482279.4364427479</v>
      </c>
      <c r="R42" s="250">
        <f t="shared" si="15"/>
        <v>-179004.06374299247</v>
      </c>
      <c r="S42" s="7">
        <f t="shared" si="16"/>
        <v>1661283.5001857404</v>
      </c>
      <c r="T42" s="7">
        <f t="shared" si="17"/>
        <v>0</v>
      </c>
      <c r="U42" s="5">
        <f t="shared" si="18"/>
        <v>0</v>
      </c>
    </row>
    <row r="43" spans="1:21">
      <c r="A43" t="str">
        <f t="shared" si="0"/>
        <v>171</v>
      </c>
      <c r="B43">
        <f t="shared" si="1"/>
        <v>171</v>
      </c>
      <c r="C43" s="14" t="s">
        <v>51</v>
      </c>
      <c r="D43" s="128">
        <v>8279893.040000001</v>
      </c>
      <c r="E43" s="128">
        <v>867421.18</v>
      </c>
      <c r="F43" s="128">
        <f t="shared" si="2"/>
        <v>9147314.2200000007</v>
      </c>
      <c r="G43" s="206">
        <v>1086.5</v>
      </c>
      <c r="H43" s="207">
        <f t="shared" si="13"/>
        <v>8419.0650897376909</v>
      </c>
      <c r="I43" s="182">
        <f t="shared" si="4"/>
        <v>5.2339757832006598E-3</v>
      </c>
      <c r="J43" s="5">
        <f>Calculations!AS43</f>
        <v>6852266.3314354122</v>
      </c>
      <c r="K43" s="5">
        <f t="shared" si="5"/>
        <v>947177.95523746009</v>
      </c>
      <c r="L43" s="5">
        <f t="shared" si="6"/>
        <v>7799444.2866728725</v>
      </c>
      <c r="M43" s="119">
        <f>'Student Enrollment Data'!CK44</f>
        <v>987</v>
      </c>
      <c r="N43" s="5">
        <f t="shared" si="12"/>
        <v>7902.172529557115</v>
      </c>
      <c r="O43" s="248">
        <f>F43*('Front page'!$H$11+1)</f>
        <v>9421733.6466000006</v>
      </c>
      <c r="P43" s="250">
        <f>H43*('Front page'!$H$10+1)</f>
        <v>8840.0183442245761</v>
      </c>
      <c r="Q43" s="250">
        <f t="shared" si="14"/>
        <v>8725098.1057496574</v>
      </c>
      <c r="R43" s="250">
        <f t="shared" si="15"/>
        <v>0</v>
      </c>
      <c r="S43" s="7">
        <f t="shared" si="16"/>
        <v>9421733.6466000006</v>
      </c>
      <c r="T43" s="7">
        <f t="shared" si="17"/>
        <v>1622289.3599271281</v>
      </c>
      <c r="U43" s="5">
        <f t="shared" si="18"/>
        <v>1347869.9333271282</v>
      </c>
    </row>
    <row r="44" spans="1:21">
      <c r="A44" t="str">
        <f t="shared" si="0"/>
        <v>181</v>
      </c>
      <c r="B44">
        <f t="shared" si="1"/>
        <v>181</v>
      </c>
      <c r="C44" s="14" t="s">
        <v>52</v>
      </c>
      <c r="D44" s="128">
        <v>2438380.59</v>
      </c>
      <c r="E44" s="128">
        <v>315639.38</v>
      </c>
      <c r="F44" s="128">
        <f t="shared" si="2"/>
        <v>2754019.9699999997</v>
      </c>
      <c r="G44" s="206">
        <v>331.5</v>
      </c>
      <c r="H44" s="207">
        <f t="shared" si="13"/>
        <v>8307.7525490196076</v>
      </c>
      <c r="I44" s="182">
        <f t="shared" si="4"/>
        <v>1.5758148766678102E-3</v>
      </c>
      <c r="J44" s="5">
        <f>Calculations!AS44</f>
        <v>2758803.2665439202</v>
      </c>
      <c r="K44" s="5">
        <f t="shared" si="5"/>
        <v>344661.47407286003</v>
      </c>
      <c r="L44" s="5">
        <f t="shared" si="6"/>
        <v>3103464.7406167802</v>
      </c>
      <c r="M44" s="119">
        <f>'Student Enrollment Data'!CK45</f>
        <v>337.5</v>
      </c>
      <c r="N44" s="5">
        <f t="shared" si="12"/>
        <v>9195.4510833089789</v>
      </c>
      <c r="O44" s="248">
        <f>F44*('Front page'!$H$11+1)</f>
        <v>2836640.5691</v>
      </c>
      <c r="P44" s="250">
        <f>H44*('Front page'!$H$10+1)</f>
        <v>8723.1401764705879</v>
      </c>
      <c r="Q44" s="250">
        <f t="shared" si="14"/>
        <v>2944059.8095588232</v>
      </c>
      <c r="R44" s="250">
        <f t="shared" si="15"/>
        <v>-159404.931057957</v>
      </c>
      <c r="S44" s="7">
        <f t="shared" si="16"/>
        <v>3103464.7406167802</v>
      </c>
      <c r="T44" s="7">
        <f t="shared" si="17"/>
        <v>0</v>
      </c>
      <c r="U44" s="5">
        <f t="shared" si="18"/>
        <v>0</v>
      </c>
    </row>
    <row r="45" spans="1:21">
      <c r="A45" t="str">
        <f t="shared" si="0"/>
        <v>182</v>
      </c>
      <c r="B45">
        <f t="shared" si="1"/>
        <v>182</v>
      </c>
      <c r="C45" s="14" t="s">
        <v>53</v>
      </c>
      <c r="D45" s="128">
        <v>1714213.1600000001</v>
      </c>
      <c r="E45" s="128">
        <v>219779.22</v>
      </c>
      <c r="F45" s="128">
        <f t="shared" si="2"/>
        <v>1933992.3800000001</v>
      </c>
      <c r="G45" s="206">
        <v>203.5</v>
      </c>
      <c r="H45" s="207">
        <f t="shared" si="13"/>
        <v>9503.6480589680596</v>
      </c>
      <c r="I45" s="182">
        <f t="shared" si="4"/>
        <v>1.1066056154146861E-3</v>
      </c>
      <c r="J45" s="5">
        <f>Calculations!AS45</f>
        <v>1874823.7402755457</v>
      </c>
      <c r="K45" s="5">
        <f t="shared" si="5"/>
        <v>239987.25994133999</v>
      </c>
      <c r="L45" s="5">
        <f t="shared" si="6"/>
        <v>2114811.0002168859</v>
      </c>
      <c r="M45" s="119">
        <f>'Student Enrollment Data'!CK46</f>
        <v>211</v>
      </c>
      <c r="N45" s="5">
        <f t="shared" si="12"/>
        <v>10022.800948895194</v>
      </c>
      <c r="O45" s="248">
        <f>F45*('Front page'!$H$11+1)</f>
        <v>1992012.1514000001</v>
      </c>
      <c r="P45" s="250">
        <f>H45*('Front page'!$H$10+1)</f>
        <v>9978.8304619164628</v>
      </c>
      <c r="Q45" s="250">
        <f t="shared" si="14"/>
        <v>2105533.2274643737</v>
      </c>
      <c r="R45" s="250">
        <f t="shared" si="15"/>
        <v>-9277.7727525122464</v>
      </c>
      <c r="S45" s="7">
        <f t="shared" si="16"/>
        <v>2114811.0002168859</v>
      </c>
      <c r="T45" s="7">
        <f t="shared" si="17"/>
        <v>0</v>
      </c>
      <c r="U45" s="5">
        <f t="shared" si="18"/>
        <v>0</v>
      </c>
    </row>
    <row r="46" spans="1:21">
      <c r="A46" t="str">
        <f t="shared" si="0"/>
        <v>191</v>
      </c>
      <c r="B46">
        <f t="shared" si="1"/>
        <v>191</v>
      </c>
      <c r="C46" s="14" t="s">
        <v>54</v>
      </c>
      <c r="D46" s="128">
        <v>145029.96000000002</v>
      </c>
      <c r="E46" s="128">
        <v>10925</v>
      </c>
      <c r="F46" s="128">
        <f t="shared" si="2"/>
        <v>155954.96000000002</v>
      </c>
      <c r="G46" s="206">
        <v>3</v>
      </c>
      <c r="H46" s="207">
        <f t="shared" si="13"/>
        <v>51984.986666666671</v>
      </c>
      <c r="I46" s="182">
        <f t="shared" si="4"/>
        <v>8.9235426298718272E-5</v>
      </c>
      <c r="J46" s="5">
        <f>Calculations!AS46</f>
        <v>159037.20234434359</v>
      </c>
      <c r="K46" s="5">
        <f t="shared" si="5"/>
        <v>11929.520974999999</v>
      </c>
      <c r="L46" s="5">
        <f t="shared" si="6"/>
        <v>170966.72331934358</v>
      </c>
      <c r="M46" s="119">
        <f>'Student Enrollment Data'!CK47</f>
        <v>2</v>
      </c>
      <c r="N46" s="5">
        <f t="shared" si="12"/>
        <v>85483.361659671791</v>
      </c>
      <c r="O46" s="248">
        <f>F46*('Front page'!$H$11+1)</f>
        <v>160633.60880000002</v>
      </c>
      <c r="P46" s="250">
        <f>H46*('Front page'!$H$10+1)</f>
        <v>54584.236000000004</v>
      </c>
      <c r="Q46" s="250">
        <f t="shared" si="14"/>
        <v>109168.47200000001</v>
      </c>
      <c r="R46" s="250">
        <f t="shared" si="15"/>
        <v>-61798.251319343573</v>
      </c>
      <c r="S46" s="7">
        <f t="shared" si="16"/>
        <v>170966.72331934358</v>
      </c>
      <c r="T46" s="7">
        <f t="shared" si="17"/>
        <v>0</v>
      </c>
      <c r="U46" s="5">
        <f t="shared" si="18"/>
        <v>0</v>
      </c>
    </row>
    <row r="47" spans="1:21">
      <c r="A47" t="str">
        <f t="shared" si="0"/>
        <v>192</v>
      </c>
      <c r="B47">
        <f t="shared" si="1"/>
        <v>192</v>
      </c>
      <c r="C47" s="14" t="s">
        <v>55</v>
      </c>
      <c r="D47" s="128">
        <v>2765663.3800000004</v>
      </c>
      <c r="E47" s="128">
        <v>324038.24000000005</v>
      </c>
      <c r="F47" s="128">
        <f t="shared" si="2"/>
        <v>3089701.6200000006</v>
      </c>
      <c r="G47" s="206">
        <v>397.5</v>
      </c>
      <c r="H47" s="207">
        <f t="shared" si="13"/>
        <v>7772.8342641509453</v>
      </c>
      <c r="I47" s="182">
        <f t="shared" si="4"/>
        <v>1.7678876080410683E-3</v>
      </c>
      <c r="J47" s="5">
        <f>Calculations!AS47</f>
        <v>3041789.8511126065</v>
      </c>
      <c r="K47" s="5">
        <f t="shared" si="5"/>
        <v>353832.58405328006</v>
      </c>
      <c r="L47" s="5">
        <f t="shared" si="6"/>
        <v>3395622.4351658868</v>
      </c>
      <c r="M47" s="119">
        <f>'Student Enrollment Data'!CK48</f>
        <v>383.5</v>
      </c>
      <c r="N47" s="5">
        <f t="shared" si="12"/>
        <v>8854.2957892200429</v>
      </c>
      <c r="O47" s="248">
        <f>F47*('Front page'!$H$11+1)</f>
        <v>3182392.6686000009</v>
      </c>
      <c r="P47" s="250">
        <f>H47*('Front page'!$H$10+1)</f>
        <v>8161.4759773584929</v>
      </c>
      <c r="Q47" s="250">
        <f t="shared" si="14"/>
        <v>3129926.0373169822</v>
      </c>
      <c r="R47" s="250">
        <f t="shared" si="15"/>
        <v>-265696.3978489046</v>
      </c>
      <c r="S47" s="7">
        <f t="shared" si="16"/>
        <v>3395622.4351658868</v>
      </c>
      <c r="T47" s="7">
        <f t="shared" si="17"/>
        <v>0</v>
      </c>
      <c r="U47" s="5">
        <f t="shared" si="18"/>
        <v>0</v>
      </c>
    </row>
    <row r="48" spans="1:21">
      <c r="A48" t="str">
        <f t="shared" si="0"/>
        <v>193</v>
      </c>
      <c r="B48">
        <f t="shared" si="1"/>
        <v>193</v>
      </c>
      <c r="C48" s="14" t="s">
        <v>56</v>
      </c>
      <c r="D48" s="128">
        <v>19118711.740000002</v>
      </c>
      <c r="E48" s="128">
        <v>1846883.99</v>
      </c>
      <c r="F48" s="128">
        <f t="shared" si="2"/>
        <v>20965595.73</v>
      </c>
      <c r="G48" s="206">
        <v>3718</v>
      </c>
      <c r="H48" s="207">
        <f t="shared" si="13"/>
        <v>5638.9445212479832</v>
      </c>
      <c r="I48" s="182">
        <f t="shared" si="4"/>
        <v>1.1996244765624237E-2</v>
      </c>
      <c r="J48" s="5">
        <f>Calculations!AS48</f>
        <v>20703226.487434488</v>
      </c>
      <c r="K48" s="5">
        <f t="shared" si="5"/>
        <v>2016699.4322285301</v>
      </c>
      <c r="L48" s="5">
        <f t="shared" si="6"/>
        <v>22719925.919663019</v>
      </c>
      <c r="M48" s="119">
        <f>'Student Enrollment Data'!CK49</f>
        <v>3742.3647058823531</v>
      </c>
      <c r="N48" s="5">
        <f t="shared" si="12"/>
        <v>6071.0079602747446</v>
      </c>
      <c r="O48" s="248">
        <f>F48*('Front page'!$H$11+1)</f>
        <v>21594563.6019</v>
      </c>
      <c r="P48" s="250">
        <f>H48*('Front page'!$H$10+1)</f>
        <v>5920.8917473103829</v>
      </c>
      <c r="Q48" s="250">
        <f t="shared" si="14"/>
        <v>22158136.302484471</v>
      </c>
      <c r="R48" s="250">
        <f t="shared" si="15"/>
        <v>-561789.61717854813</v>
      </c>
      <c r="S48" s="7">
        <f t="shared" si="16"/>
        <v>22719925.919663019</v>
      </c>
      <c r="T48" s="7">
        <f t="shared" si="17"/>
        <v>0</v>
      </c>
      <c r="U48" s="5">
        <f t="shared" si="18"/>
        <v>0</v>
      </c>
    </row>
    <row r="49" spans="1:21">
      <c r="A49" t="str">
        <f t="shared" si="0"/>
        <v>201</v>
      </c>
      <c r="B49">
        <f t="shared" si="1"/>
        <v>201</v>
      </c>
      <c r="C49" s="14" t="s">
        <v>57</v>
      </c>
      <c r="D49" s="128">
        <v>11738851.609999999</v>
      </c>
      <c r="E49" s="128">
        <v>978668.56</v>
      </c>
      <c r="F49" s="128">
        <f t="shared" si="2"/>
        <v>12717520.17</v>
      </c>
      <c r="G49" s="206">
        <v>2272</v>
      </c>
      <c r="H49" s="207">
        <f t="shared" si="13"/>
        <v>5597.5000748239436</v>
      </c>
      <c r="I49" s="182">
        <f t="shared" si="4"/>
        <v>7.2768018011898951E-3</v>
      </c>
      <c r="J49" s="5">
        <f>Calculations!AS49</f>
        <v>12366628.428400775</v>
      </c>
      <c r="K49" s="5">
        <f t="shared" si="5"/>
        <v>1068654.19808632</v>
      </c>
      <c r="L49" s="5">
        <f t="shared" si="6"/>
        <v>13435282.626487095</v>
      </c>
      <c r="M49" s="119">
        <f>'Student Enrollment Data'!CK50</f>
        <v>2255.1142156862743</v>
      </c>
      <c r="N49" s="5">
        <f t="shared" si="12"/>
        <v>5957.6949730674651</v>
      </c>
      <c r="O49" s="248">
        <f>F49*('Front page'!$H$11+1)</f>
        <v>13099045.7751</v>
      </c>
      <c r="P49" s="250">
        <f>H49*('Front page'!$H$10+1)</f>
        <v>5877.3750785651409</v>
      </c>
      <c r="Q49" s="250">
        <f t="shared" si="14"/>
        <v>13254152.090592483</v>
      </c>
      <c r="R49" s="250">
        <f t="shared" si="15"/>
        <v>-181130.53589461185</v>
      </c>
      <c r="S49" s="7">
        <f t="shared" si="16"/>
        <v>13435282.626487095</v>
      </c>
      <c r="T49" s="7">
        <f t="shared" si="17"/>
        <v>0</v>
      </c>
      <c r="U49" s="5">
        <f t="shared" si="18"/>
        <v>0</v>
      </c>
    </row>
    <row r="50" spans="1:21">
      <c r="A50" t="str">
        <f t="shared" si="0"/>
        <v>202</v>
      </c>
      <c r="B50">
        <f t="shared" si="1"/>
        <v>202</v>
      </c>
      <c r="C50" s="14" t="s">
        <v>58</v>
      </c>
      <c r="D50" s="128">
        <v>3913694.93</v>
      </c>
      <c r="E50" s="128">
        <v>481848.97</v>
      </c>
      <c r="F50" s="128">
        <f t="shared" si="2"/>
        <v>4395543.9000000004</v>
      </c>
      <c r="G50" s="206">
        <v>663.5</v>
      </c>
      <c r="H50" s="207">
        <f t="shared" si="13"/>
        <v>6624.7835719668428</v>
      </c>
      <c r="I50" s="182">
        <f t="shared" si="4"/>
        <v>2.5150737990714159E-3</v>
      </c>
      <c r="J50" s="5">
        <f>Calculations!AS50</f>
        <v>4701260.3876780635</v>
      </c>
      <c r="K50" s="5">
        <f t="shared" si="5"/>
        <v>526153.53724459</v>
      </c>
      <c r="L50" s="5">
        <f t="shared" si="6"/>
        <v>5227413.9249226535</v>
      </c>
      <c r="M50" s="119">
        <f>'Student Enrollment Data'!CK51</f>
        <v>721</v>
      </c>
      <c r="N50" s="5">
        <f t="shared" si="12"/>
        <v>7250.2273577290616</v>
      </c>
      <c r="O50" s="248">
        <f>F50*('Front page'!$H$11+1)</f>
        <v>4527410.2170000002</v>
      </c>
      <c r="P50" s="250">
        <f>H50*('Front page'!$H$10+1)</f>
        <v>6956.0227505651856</v>
      </c>
      <c r="Q50" s="250">
        <f t="shared" si="14"/>
        <v>5015292.4031574987</v>
      </c>
      <c r="R50" s="250">
        <f t="shared" si="15"/>
        <v>-212121.52176515479</v>
      </c>
      <c r="S50" s="7">
        <f t="shared" si="16"/>
        <v>5227413.9249226535</v>
      </c>
      <c r="T50" s="7">
        <f t="shared" si="17"/>
        <v>0</v>
      </c>
      <c r="U50" s="5">
        <f t="shared" si="18"/>
        <v>0</v>
      </c>
    </row>
    <row r="51" spans="1:21">
      <c r="A51" t="str">
        <f t="shared" si="0"/>
        <v>215</v>
      </c>
      <c r="B51">
        <f t="shared" si="1"/>
        <v>215</v>
      </c>
      <c r="C51" s="14" t="s">
        <v>59</v>
      </c>
      <c r="D51" s="128">
        <v>12108239.67</v>
      </c>
      <c r="E51" s="128">
        <v>1091248.25</v>
      </c>
      <c r="F51" s="128">
        <f t="shared" si="2"/>
        <v>13199487.92</v>
      </c>
      <c r="G51" s="206">
        <v>2054.5</v>
      </c>
      <c r="H51" s="207">
        <f t="shared" si="13"/>
        <v>6424.6716573375516</v>
      </c>
      <c r="I51" s="182">
        <f t="shared" si="4"/>
        <v>7.5525775612778337E-3</v>
      </c>
      <c r="J51" s="5">
        <f>Calculations!AS51</f>
        <v>11864683.015001889</v>
      </c>
      <c r="K51" s="5">
        <f t="shared" si="5"/>
        <v>1191585.2528427499</v>
      </c>
      <c r="L51" s="5">
        <f t="shared" si="6"/>
        <v>13056268.26784464</v>
      </c>
      <c r="M51" s="119">
        <f>'Student Enrollment Data'!CK52</f>
        <v>2105</v>
      </c>
      <c r="N51" s="5">
        <f t="shared" si="12"/>
        <v>6202.5027400687122</v>
      </c>
      <c r="O51" s="248">
        <f>F51*('Front page'!$H$11+1)</f>
        <v>13595472.557600001</v>
      </c>
      <c r="P51" s="250">
        <f>H51*('Front page'!$H$10+1)</f>
        <v>6745.905240204429</v>
      </c>
      <c r="Q51" s="250">
        <f t="shared" si="14"/>
        <v>14200130.530630322</v>
      </c>
      <c r="R51" s="250">
        <f t="shared" si="15"/>
        <v>0</v>
      </c>
      <c r="S51" s="7">
        <f t="shared" si="16"/>
        <v>13595472.557600001</v>
      </c>
      <c r="T51" s="7">
        <f t="shared" si="17"/>
        <v>539204.28975536115</v>
      </c>
      <c r="U51" s="5">
        <f t="shared" si="18"/>
        <v>143219.65215536021</v>
      </c>
    </row>
    <row r="52" spans="1:21">
      <c r="A52" t="str">
        <f t="shared" si="0"/>
        <v>221</v>
      </c>
      <c r="B52">
        <f t="shared" si="1"/>
        <v>221</v>
      </c>
      <c r="C52" s="14" t="s">
        <v>60</v>
      </c>
      <c r="D52" s="128">
        <v>12306266.52</v>
      </c>
      <c r="E52" s="128">
        <v>1942884.1400000001</v>
      </c>
      <c r="F52" s="128">
        <f t="shared" si="2"/>
        <v>14249150.66</v>
      </c>
      <c r="G52" s="206">
        <v>2240</v>
      </c>
      <c r="H52" s="207">
        <f t="shared" si="13"/>
        <v>6361.2279732142861</v>
      </c>
      <c r="I52" s="182">
        <f t="shared" si="4"/>
        <v>8.1531811078003717E-3</v>
      </c>
      <c r="J52" s="5">
        <f>Calculations!AS52</f>
        <v>13340309.242346017</v>
      </c>
      <c r="K52" s="5">
        <f t="shared" si="5"/>
        <v>2121526.5080205803</v>
      </c>
      <c r="L52" s="5">
        <f t="shared" si="6"/>
        <v>15461835.750366597</v>
      </c>
      <c r="M52" s="119">
        <f>'Student Enrollment Data'!CK53</f>
        <v>2333.0426470588236</v>
      </c>
      <c r="N52" s="5">
        <f t="shared" si="12"/>
        <v>6627.3266671137508</v>
      </c>
      <c r="O52" s="248">
        <f>F52*('Front page'!$H$11+1)</f>
        <v>14676625.1798</v>
      </c>
      <c r="P52" s="250">
        <f>H52*('Front page'!$H$10+1)</f>
        <v>6679.2893718750011</v>
      </c>
      <c r="Q52" s="250">
        <f t="shared" si="14"/>
        <v>15583066.95663112</v>
      </c>
      <c r="R52" s="250">
        <f t="shared" si="15"/>
        <v>0</v>
      </c>
      <c r="S52" s="7">
        <f t="shared" si="16"/>
        <v>15461835.750366597</v>
      </c>
      <c r="T52" s="7">
        <f t="shared" si="17"/>
        <v>0</v>
      </c>
      <c r="U52" s="5">
        <f t="shared" si="18"/>
        <v>0</v>
      </c>
    </row>
    <row r="53" spans="1:21">
      <c r="A53" t="str">
        <f t="shared" si="0"/>
        <v>231</v>
      </c>
      <c r="B53">
        <f t="shared" si="1"/>
        <v>231</v>
      </c>
      <c r="C53" s="14" t="s">
        <v>61</v>
      </c>
      <c r="D53" s="128">
        <v>6864821.2599999998</v>
      </c>
      <c r="E53" s="128">
        <v>735236.98</v>
      </c>
      <c r="F53" s="128">
        <f t="shared" si="2"/>
        <v>7600058.2400000002</v>
      </c>
      <c r="G53" s="206">
        <v>1296.5</v>
      </c>
      <c r="H53" s="207">
        <f t="shared" si="13"/>
        <v>5861.9809024296183</v>
      </c>
      <c r="I53" s="182">
        <f t="shared" si="4"/>
        <v>4.348655771778509E-3</v>
      </c>
      <c r="J53" s="5">
        <f>Calculations!AS53</f>
        <v>7711121.083522195</v>
      </c>
      <c r="K53" s="5">
        <f t="shared" si="5"/>
        <v>802839.81460006</v>
      </c>
      <c r="L53" s="5">
        <f t="shared" si="6"/>
        <v>8513960.8981222548</v>
      </c>
      <c r="M53" s="119">
        <f>'Student Enrollment Data'!CK54</f>
        <v>1306.5</v>
      </c>
      <c r="N53" s="5">
        <f t="shared" si="12"/>
        <v>6516.6176028490281</v>
      </c>
      <c r="O53" s="248">
        <f>F53*('Front page'!$H$11+1)</f>
        <v>7828059.9872000003</v>
      </c>
      <c r="P53" s="250">
        <f>H53*('Front page'!$H$10+1)</f>
        <v>6155.0799475510994</v>
      </c>
      <c r="Q53" s="250">
        <f t="shared" si="14"/>
        <v>8041611.9514755113</v>
      </c>
      <c r="R53" s="250">
        <f t="shared" si="15"/>
        <v>-472348.94664674345</v>
      </c>
      <c r="S53" s="7">
        <f t="shared" si="16"/>
        <v>8513960.8981222548</v>
      </c>
      <c r="T53" s="7">
        <f t="shared" si="17"/>
        <v>0</v>
      </c>
      <c r="U53" s="5">
        <f t="shared" si="18"/>
        <v>0</v>
      </c>
    </row>
    <row r="54" spans="1:21">
      <c r="A54" t="str">
        <f t="shared" si="0"/>
        <v>232</v>
      </c>
      <c r="B54">
        <f t="shared" si="1"/>
        <v>232</v>
      </c>
      <c r="C54" s="14" t="s">
        <v>62</v>
      </c>
      <c r="D54" s="128">
        <v>6022881.5999999996</v>
      </c>
      <c r="E54" s="128">
        <v>586906.27</v>
      </c>
      <c r="F54" s="128">
        <f t="shared" si="2"/>
        <v>6609787.8699999992</v>
      </c>
      <c r="G54" s="206">
        <v>1057.5</v>
      </c>
      <c r="H54" s="207">
        <f t="shared" si="13"/>
        <v>6250.390420803782</v>
      </c>
      <c r="I54" s="182">
        <f t="shared" si="4"/>
        <v>3.7820357770188707E-3</v>
      </c>
      <c r="J54" s="5">
        <f>Calculations!AS54</f>
        <v>6501974.0092297066</v>
      </c>
      <c r="K54" s="5">
        <f t="shared" si="5"/>
        <v>640870.54080769001</v>
      </c>
      <c r="L54" s="5">
        <f t="shared" si="6"/>
        <v>7142844.5500373971</v>
      </c>
      <c r="M54" s="119">
        <f>'Student Enrollment Data'!CK55</f>
        <v>1023</v>
      </c>
      <c r="N54" s="5">
        <f t="shared" si="12"/>
        <v>6982.2527370844546</v>
      </c>
      <c r="O54" s="248">
        <f>F54*('Front page'!$H$11+1)</f>
        <v>6808081.506099999</v>
      </c>
      <c r="P54" s="250">
        <f>H54*('Front page'!$H$10+1)</f>
        <v>6562.9099418439719</v>
      </c>
      <c r="Q54" s="250">
        <f t="shared" si="14"/>
        <v>6713856.8705063835</v>
      </c>
      <c r="R54" s="250">
        <f t="shared" si="15"/>
        <v>-428987.67953101359</v>
      </c>
      <c r="S54" s="7">
        <f t="shared" si="16"/>
        <v>7142844.5500373971</v>
      </c>
      <c r="T54" s="7">
        <f t="shared" si="17"/>
        <v>0</v>
      </c>
      <c r="U54" s="5">
        <f t="shared" si="18"/>
        <v>0</v>
      </c>
    </row>
    <row r="55" spans="1:21" s="35" customFormat="1">
      <c r="A55" t="str">
        <f t="shared" si="0"/>
        <v>233</v>
      </c>
      <c r="B55">
        <f t="shared" si="1"/>
        <v>233</v>
      </c>
      <c r="C55" s="14" t="s">
        <v>63</v>
      </c>
      <c r="D55" s="128">
        <v>2330060.9500000002</v>
      </c>
      <c r="E55" s="128">
        <v>209251.4</v>
      </c>
      <c r="F55" s="128">
        <f t="shared" si="2"/>
        <v>2539312.35</v>
      </c>
      <c r="G55" s="206">
        <v>327</v>
      </c>
      <c r="H55" s="207">
        <f t="shared" si="13"/>
        <v>7765.4811926605507</v>
      </c>
      <c r="I55" s="182">
        <f t="shared" si="4"/>
        <v>1.4529619324569741E-3</v>
      </c>
      <c r="J55" s="5">
        <f>Calculations!AS55</f>
        <v>2250111.2520889658</v>
      </c>
      <c r="K55" s="5">
        <f t="shared" si="5"/>
        <v>228491.43847579998</v>
      </c>
      <c r="L55" s="5">
        <f t="shared" si="6"/>
        <v>2478602.6905647656</v>
      </c>
      <c r="M55" s="119">
        <f>'Student Enrollment Data'!CK56</f>
        <v>280.5</v>
      </c>
      <c r="N55" s="5">
        <f t="shared" si="12"/>
        <v>8836.3732283948866</v>
      </c>
      <c r="O55" s="248">
        <f>F55*('Front page'!$H$11+1)</f>
        <v>2615491.7205000003</v>
      </c>
      <c r="P55" s="250">
        <f>H55*('Front page'!$H$10+1)</f>
        <v>8153.7552522935785</v>
      </c>
      <c r="Q55" s="250">
        <f t="shared" si="14"/>
        <v>2287128.3482683487</v>
      </c>
      <c r="R55" s="250">
        <f t="shared" si="15"/>
        <v>-191474.34229641687</v>
      </c>
      <c r="S55" s="7">
        <f t="shared" si="16"/>
        <v>2615491.7205000003</v>
      </c>
      <c r="T55" s="7">
        <f t="shared" si="17"/>
        <v>136889.02993523469</v>
      </c>
      <c r="U55" s="5">
        <f t="shared" si="18"/>
        <v>60709.659435234498</v>
      </c>
    </row>
    <row r="56" spans="1:21">
      <c r="A56" t="str">
        <f t="shared" si="0"/>
        <v>234</v>
      </c>
      <c r="B56">
        <f t="shared" si="1"/>
        <v>234</v>
      </c>
      <c r="C56" s="14" t="s">
        <v>64</v>
      </c>
      <c r="D56" s="128">
        <v>1506724.53</v>
      </c>
      <c r="E56" s="128">
        <v>142108.89000000001</v>
      </c>
      <c r="F56" s="128">
        <f t="shared" si="2"/>
        <v>1648833.42</v>
      </c>
      <c r="G56" s="206">
        <v>127</v>
      </c>
      <c r="H56" s="207">
        <f t="shared" si="13"/>
        <v>12982.94031496063</v>
      </c>
      <c r="I56" s="182">
        <f t="shared" si="4"/>
        <v>9.4344131875814384E-4</v>
      </c>
      <c r="J56" s="5">
        <f>Calculations!AS56</f>
        <v>1646060.8748809323</v>
      </c>
      <c r="K56" s="5">
        <f t="shared" si="5"/>
        <v>155175.37610883001</v>
      </c>
      <c r="L56" s="5">
        <f t="shared" si="6"/>
        <v>1801236.2509897624</v>
      </c>
      <c r="M56" s="119">
        <f>'Student Enrollment Data'!CK57</f>
        <v>133</v>
      </c>
      <c r="N56" s="5">
        <f t="shared" si="12"/>
        <v>13543.129706689942</v>
      </c>
      <c r="O56" s="248">
        <f>F56*('Front page'!$H$11+1)</f>
        <v>1698298.4225999999</v>
      </c>
      <c r="P56" s="250">
        <f>H56*('Front page'!$H$10+1)</f>
        <v>13632.087330708662</v>
      </c>
      <c r="Q56" s="250">
        <f t="shared" si="14"/>
        <v>1813067.614984252</v>
      </c>
      <c r="R56" s="250">
        <f t="shared" si="15"/>
        <v>0</v>
      </c>
      <c r="S56" s="7">
        <f t="shared" si="16"/>
        <v>1801236.2509897624</v>
      </c>
      <c r="T56" s="7">
        <f t="shared" si="17"/>
        <v>0</v>
      </c>
      <c r="U56" s="5">
        <f t="shared" si="18"/>
        <v>0</v>
      </c>
    </row>
    <row r="57" spans="1:21">
      <c r="A57" t="str">
        <f t="shared" si="0"/>
        <v>242</v>
      </c>
      <c r="B57">
        <f t="shared" si="1"/>
        <v>242</v>
      </c>
      <c r="C57" s="14" t="s">
        <v>65</v>
      </c>
      <c r="D57" s="128">
        <v>2752242.7399999998</v>
      </c>
      <c r="E57" s="128">
        <v>298155.33</v>
      </c>
      <c r="F57" s="128">
        <f t="shared" si="2"/>
        <v>3050398.07</v>
      </c>
      <c r="G57" s="206">
        <v>385</v>
      </c>
      <c r="H57" s="207">
        <f t="shared" si="13"/>
        <v>7923.1118701298701</v>
      </c>
      <c r="I57" s="182">
        <f t="shared" si="4"/>
        <v>1.7453986212252399E-3</v>
      </c>
      <c r="J57" s="5">
        <f>Calculations!AS57</f>
        <v>2839390.9506418388</v>
      </c>
      <c r="K57" s="5">
        <f t="shared" si="5"/>
        <v>325569.81812751002</v>
      </c>
      <c r="L57" s="5">
        <f t="shared" si="6"/>
        <v>3164960.768769349</v>
      </c>
      <c r="M57" s="119">
        <f>'Student Enrollment Data'!CK58</f>
        <v>369</v>
      </c>
      <c r="N57" s="5">
        <f t="shared" si="12"/>
        <v>8577.1294546594818</v>
      </c>
      <c r="O57" s="248">
        <f>F57*('Front page'!$H$11+1)</f>
        <v>3141910.0120999999</v>
      </c>
      <c r="P57" s="250">
        <f>H57*('Front page'!$H$10+1)</f>
        <v>8319.2674636363645</v>
      </c>
      <c r="Q57" s="250">
        <f t="shared" si="14"/>
        <v>3069809.6940818187</v>
      </c>
      <c r="R57" s="250">
        <f t="shared" si="15"/>
        <v>-95151.074687530287</v>
      </c>
      <c r="S57" s="7">
        <f t="shared" si="16"/>
        <v>3164960.768769349</v>
      </c>
      <c r="T57" s="7">
        <f t="shared" si="17"/>
        <v>0</v>
      </c>
      <c r="U57" s="5">
        <f t="shared" si="18"/>
        <v>0</v>
      </c>
    </row>
    <row r="58" spans="1:21">
      <c r="A58" t="str">
        <f t="shared" si="0"/>
        <v>243</v>
      </c>
      <c r="B58">
        <f t="shared" si="1"/>
        <v>243</v>
      </c>
      <c r="C58" s="14" t="s">
        <v>66</v>
      </c>
      <c r="D58" s="128">
        <v>1332593.32</v>
      </c>
      <c r="E58" s="128">
        <v>128412.06</v>
      </c>
      <c r="F58" s="128">
        <f t="shared" si="2"/>
        <v>1461005.3800000001</v>
      </c>
      <c r="G58" s="206">
        <v>106.5</v>
      </c>
      <c r="H58" s="207">
        <f t="shared" si="13"/>
        <v>13718.360375586855</v>
      </c>
      <c r="I58" s="182">
        <f t="shared" si="4"/>
        <v>8.3596852520125605E-4</v>
      </c>
      <c r="J58" s="5">
        <f>Calculations!AS58</f>
        <v>1497792.9550417857</v>
      </c>
      <c r="K58" s="5">
        <f t="shared" si="5"/>
        <v>140219.16368082</v>
      </c>
      <c r="L58" s="5">
        <f t="shared" si="6"/>
        <v>1638012.1187226058</v>
      </c>
      <c r="M58" s="119">
        <f>'Student Enrollment Data'!CK59</f>
        <v>114.5</v>
      </c>
      <c r="N58" s="5">
        <f t="shared" si="12"/>
        <v>14305.782696267299</v>
      </c>
      <c r="O58" s="248">
        <f>F58*('Front page'!$H$11+1)</f>
        <v>1504835.5414000002</v>
      </c>
      <c r="P58" s="250">
        <f>H58*('Front page'!$H$10+1)</f>
        <v>14404.278394366198</v>
      </c>
      <c r="Q58" s="250">
        <f t="shared" si="14"/>
        <v>1649289.8761549296</v>
      </c>
      <c r="R58" s="250">
        <f t="shared" si="15"/>
        <v>0</v>
      </c>
      <c r="S58" s="7">
        <f t="shared" si="16"/>
        <v>1638012.1187226058</v>
      </c>
      <c r="T58" s="7">
        <f t="shared" si="17"/>
        <v>0</v>
      </c>
      <c r="U58" s="5">
        <f t="shared" si="18"/>
        <v>0</v>
      </c>
    </row>
    <row r="59" spans="1:21">
      <c r="A59" t="str">
        <f t="shared" si="0"/>
        <v>244</v>
      </c>
      <c r="B59">
        <f t="shared" si="1"/>
        <v>244</v>
      </c>
      <c r="C59" s="14" t="s">
        <v>67</v>
      </c>
      <c r="D59" s="128">
        <v>7474207.4700000007</v>
      </c>
      <c r="E59" s="128">
        <v>1016692.22</v>
      </c>
      <c r="F59" s="128">
        <f t="shared" si="2"/>
        <v>8490899.6900000013</v>
      </c>
      <c r="G59" s="206">
        <v>1249.5</v>
      </c>
      <c r="H59" s="207">
        <f t="shared" si="13"/>
        <v>6795.4379271708694</v>
      </c>
      <c r="I59" s="182">
        <f t="shared" si="4"/>
        <v>4.8583838147680898E-3</v>
      </c>
      <c r="J59" s="5">
        <f>Calculations!AS59</f>
        <v>7563318.7358620493</v>
      </c>
      <c r="K59" s="5">
        <f t="shared" si="5"/>
        <v>1110174.01955234</v>
      </c>
      <c r="L59" s="5">
        <f t="shared" si="6"/>
        <v>8673492.7554143891</v>
      </c>
      <c r="M59" s="119">
        <f>'Student Enrollment Data'!CK60</f>
        <v>1200</v>
      </c>
      <c r="N59" s="5">
        <f t="shared" si="12"/>
        <v>7227.9106295119909</v>
      </c>
      <c r="O59" s="248">
        <f>F59*('Front page'!$H$11+1)</f>
        <v>8745626.6807000022</v>
      </c>
      <c r="P59" s="250">
        <f>H59*('Front page'!$H$10+1)</f>
        <v>7135.2098235294134</v>
      </c>
      <c r="Q59" s="250">
        <f t="shared" si="14"/>
        <v>8562251.7882352956</v>
      </c>
      <c r="R59" s="250">
        <f t="shared" si="15"/>
        <v>-111240.96717909351</v>
      </c>
      <c r="S59" s="7">
        <f t="shared" si="16"/>
        <v>8745626.6807000022</v>
      </c>
      <c r="T59" s="7">
        <f t="shared" si="17"/>
        <v>72133.925285613164</v>
      </c>
      <c r="U59" s="5">
        <f t="shared" si="18"/>
        <v>0</v>
      </c>
    </row>
    <row r="60" spans="1:21">
      <c r="A60" t="str">
        <f t="shared" si="0"/>
        <v>251</v>
      </c>
      <c r="B60">
        <f t="shared" si="1"/>
        <v>251</v>
      </c>
      <c r="C60" s="14" t="s">
        <v>68</v>
      </c>
      <c r="D60" s="128">
        <v>27494385.949999999</v>
      </c>
      <c r="E60" s="128">
        <v>4005879.9899999998</v>
      </c>
      <c r="F60" s="128">
        <f t="shared" si="2"/>
        <v>31500265.939999998</v>
      </c>
      <c r="G60" s="206">
        <v>5596.5</v>
      </c>
      <c r="H60" s="207">
        <f t="shared" si="13"/>
        <v>5628.5653426248546</v>
      </c>
      <c r="I60" s="182">
        <f t="shared" si="4"/>
        <v>1.8024047838420112E-2</v>
      </c>
      <c r="J60" s="5">
        <f>Calculations!AS60</f>
        <v>31803064.927150041</v>
      </c>
      <c r="K60" s="5">
        <f t="shared" si="5"/>
        <v>4374208.6374405297</v>
      </c>
      <c r="L60" s="5">
        <f t="shared" si="6"/>
        <v>36177273.564590573</v>
      </c>
      <c r="M60" s="119">
        <f>'Student Enrollment Data'!CK61</f>
        <v>5835.2720588235297</v>
      </c>
      <c r="N60" s="5">
        <f t="shared" si="12"/>
        <v>6199.7578176131183</v>
      </c>
      <c r="O60" s="248">
        <f>F60*('Front page'!$H$11+1)</f>
        <v>32445273.918199997</v>
      </c>
      <c r="P60" s="250">
        <f>H60*('Front page'!$H$10+1)</f>
        <v>5909.9936097560976</v>
      </c>
      <c r="Q60" s="250">
        <f t="shared" si="14"/>
        <v>34486420.578835368</v>
      </c>
      <c r="R60" s="250">
        <f t="shared" si="15"/>
        <v>-1690852.9857552052</v>
      </c>
      <c r="S60" s="7">
        <f t="shared" si="16"/>
        <v>36177273.564590573</v>
      </c>
      <c r="T60" s="7">
        <f t="shared" si="17"/>
        <v>0</v>
      </c>
      <c r="U60" s="5">
        <f t="shared" si="18"/>
        <v>0</v>
      </c>
    </row>
    <row r="61" spans="1:21">
      <c r="A61" t="str">
        <f t="shared" si="0"/>
        <v>252</v>
      </c>
      <c r="B61">
        <f t="shared" si="1"/>
        <v>252</v>
      </c>
      <c r="C61" s="14" t="s">
        <v>69</v>
      </c>
      <c r="D61" s="128">
        <v>4083934.46</v>
      </c>
      <c r="E61" s="128">
        <v>616830.85</v>
      </c>
      <c r="F61" s="128">
        <f t="shared" si="2"/>
        <v>4700765.3099999996</v>
      </c>
      <c r="G61" s="206">
        <v>688.5</v>
      </c>
      <c r="H61" s="207">
        <f t="shared" si="13"/>
        <v>6827.5458387799563</v>
      </c>
      <c r="I61" s="182">
        <f t="shared" si="4"/>
        <v>2.6897175720995118E-3</v>
      </c>
      <c r="J61" s="5">
        <f>Calculations!AS61</f>
        <v>4451052.5825340236</v>
      </c>
      <c r="K61" s="5">
        <f t="shared" si="5"/>
        <v>673546.59616494994</v>
      </c>
      <c r="L61" s="5">
        <f t="shared" si="6"/>
        <v>5124599.1786989737</v>
      </c>
      <c r="M61" s="119">
        <f>'Student Enrollment Data'!CK62</f>
        <v>675.5</v>
      </c>
      <c r="N61" s="5">
        <f t="shared" si="12"/>
        <v>7586.3792430776812</v>
      </c>
      <c r="O61" s="248">
        <f>F61*('Front page'!$H$11+1)</f>
        <v>4841788.2692999998</v>
      </c>
      <c r="P61" s="250">
        <f>H61*('Front page'!$H$10+1)</f>
        <v>7168.9231307189548</v>
      </c>
      <c r="Q61" s="250">
        <f t="shared" si="14"/>
        <v>4842607.5748006543</v>
      </c>
      <c r="R61" s="250">
        <f t="shared" si="15"/>
        <v>-281991.60389831942</v>
      </c>
      <c r="S61" s="7">
        <f t="shared" si="16"/>
        <v>5124599.1786989737</v>
      </c>
      <c r="T61" s="7">
        <f t="shared" si="17"/>
        <v>0</v>
      </c>
      <c r="U61" s="5">
        <f t="shared" si="18"/>
        <v>0</v>
      </c>
    </row>
    <row r="62" spans="1:21">
      <c r="A62" t="str">
        <f t="shared" si="0"/>
        <v>253</v>
      </c>
      <c r="B62">
        <f t="shared" si="1"/>
        <v>253</v>
      </c>
      <c r="C62" s="14" t="s">
        <v>70</v>
      </c>
      <c r="D62" s="128">
        <v>3753324.9099999997</v>
      </c>
      <c r="E62" s="128">
        <v>522842.86000000004</v>
      </c>
      <c r="F62" s="128">
        <f t="shared" si="2"/>
        <v>4276167.7699999996</v>
      </c>
      <c r="G62" s="206">
        <v>568</v>
      </c>
      <c r="H62" s="207">
        <f t="shared" si="13"/>
        <v>7528.464383802816</v>
      </c>
      <c r="I62" s="182">
        <f t="shared" si="4"/>
        <v>2.4467683097786014E-3</v>
      </c>
      <c r="J62" s="5">
        <f>Calculations!AS62</f>
        <v>4217904.6293902537</v>
      </c>
      <c r="K62" s="5">
        <f t="shared" si="5"/>
        <v>570916.6924484201</v>
      </c>
      <c r="L62" s="5">
        <f t="shared" si="6"/>
        <v>4788821.3218386741</v>
      </c>
      <c r="M62" s="119">
        <f>'Student Enrollment Data'!CK63</f>
        <v>576</v>
      </c>
      <c r="N62" s="5">
        <f t="shared" si="12"/>
        <v>8313.9259059699198</v>
      </c>
      <c r="O62" s="248">
        <f>F62*('Front page'!$H$11+1)</f>
        <v>4404452.8030999992</v>
      </c>
      <c r="P62" s="250">
        <f>H62*('Front page'!$H$10+1)</f>
        <v>7904.887602992957</v>
      </c>
      <c r="Q62" s="250">
        <f t="shared" si="14"/>
        <v>4553215.2593239434</v>
      </c>
      <c r="R62" s="250">
        <f t="shared" si="15"/>
        <v>-235606.06251473073</v>
      </c>
      <c r="S62" s="7">
        <f t="shared" si="16"/>
        <v>4788821.3218386741</v>
      </c>
      <c r="T62" s="7">
        <f t="shared" si="17"/>
        <v>0</v>
      </c>
      <c r="U62" s="5">
        <f t="shared" si="18"/>
        <v>0</v>
      </c>
    </row>
    <row r="63" spans="1:21">
      <c r="A63" t="str">
        <f t="shared" si="0"/>
        <v>261</v>
      </c>
      <c r="B63">
        <f t="shared" si="1"/>
        <v>261</v>
      </c>
      <c r="C63" s="14" t="s">
        <v>71</v>
      </c>
      <c r="D63" s="128">
        <v>19607333.829999998</v>
      </c>
      <c r="E63" s="128">
        <v>2437835.59</v>
      </c>
      <c r="F63" s="128">
        <f t="shared" si="2"/>
        <v>22045169.419999998</v>
      </c>
      <c r="G63" s="206">
        <v>3830.5</v>
      </c>
      <c r="H63" s="207">
        <f t="shared" si="13"/>
        <v>5755.1675812557105</v>
      </c>
      <c r="I63" s="182">
        <f t="shared" si="4"/>
        <v>1.2613962973804536E-2</v>
      </c>
      <c r="J63" s="5">
        <f>Calculations!AS63</f>
        <v>22089853.796961132</v>
      </c>
      <c r="K63" s="5">
        <f t="shared" si="5"/>
        <v>2661987.2589937299</v>
      </c>
      <c r="L63" s="5">
        <f t="shared" si="6"/>
        <v>24751841.055954862</v>
      </c>
      <c r="M63" s="119">
        <f>'Student Enrollment Data'!CK64</f>
        <v>3890.1860294117646</v>
      </c>
      <c r="N63" s="5">
        <f t="shared" si="12"/>
        <v>6362.6368684732515</v>
      </c>
      <c r="O63" s="248">
        <f>F63*('Front page'!$H$11+1)</f>
        <v>22706524.502599999</v>
      </c>
      <c r="P63" s="250">
        <f>H63*('Front page'!$H$10+1)</f>
        <v>6042.9259603184964</v>
      </c>
      <c r="Q63" s="250">
        <f t="shared" si="14"/>
        <v>23508106.147600688</v>
      </c>
      <c r="R63" s="250">
        <f t="shared" si="15"/>
        <v>-1243734.9083541743</v>
      </c>
      <c r="S63" s="7">
        <f t="shared" si="16"/>
        <v>24751841.055954862</v>
      </c>
      <c r="T63" s="7">
        <f t="shared" si="17"/>
        <v>0</v>
      </c>
      <c r="U63" s="5">
        <f t="shared" si="18"/>
        <v>0</v>
      </c>
    </row>
    <row r="64" spans="1:21">
      <c r="A64" t="str">
        <f t="shared" si="0"/>
        <v>262</v>
      </c>
      <c r="B64">
        <f t="shared" si="1"/>
        <v>262</v>
      </c>
      <c r="C64" s="14" t="s">
        <v>72</v>
      </c>
      <c r="D64" s="128">
        <v>3697344.35</v>
      </c>
      <c r="E64" s="128">
        <v>404561</v>
      </c>
      <c r="F64" s="128">
        <f t="shared" si="2"/>
        <v>4101905.35</v>
      </c>
      <c r="G64" s="206">
        <v>550.5</v>
      </c>
      <c r="H64" s="207">
        <f t="shared" si="13"/>
        <v>7451.235876475931</v>
      </c>
      <c r="I64" s="182">
        <f t="shared" si="4"/>
        <v>2.347057589859554E-3</v>
      </c>
      <c r="J64" s="5">
        <f>Calculations!AS64</f>
        <v>4053353.4431027072</v>
      </c>
      <c r="K64" s="5">
        <f t="shared" si="5"/>
        <v>441759.17026699998</v>
      </c>
      <c r="L64" s="5">
        <f t="shared" si="6"/>
        <v>4495112.613369707</v>
      </c>
      <c r="M64" s="119">
        <f>'Student Enrollment Data'!CK65</f>
        <v>574.5</v>
      </c>
      <c r="N64" s="5">
        <f t="shared" si="12"/>
        <v>7824.3909719229014</v>
      </c>
      <c r="O64" s="248">
        <f>F64*('Front page'!$H$11+1)</f>
        <v>4224962.5104999999</v>
      </c>
      <c r="P64" s="250">
        <f>H64*('Front page'!$H$10+1)</f>
        <v>7823.7976702997275</v>
      </c>
      <c r="Q64" s="250">
        <f t="shared" si="14"/>
        <v>4494771.7615871932</v>
      </c>
      <c r="R64" s="250">
        <f t="shared" si="15"/>
        <v>-340.85178251378238</v>
      </c>
      <c r="S64" s="7">
        <f t="shared" si="16"/>
        <v>4495112.613369707</v>
      </c>
      <c r="T64" s="7">
        <f t="shared" si="17"/>
        <v>0</v>
      </c>
      <c r="U64" s="5">
        <f t="shared" si="18"/>
        <v>0</v>
      </c>
    </row>
    <row r="65" spans="1:21">
      <c r="A65" t="str">
        <f t="shared" si="0"/>
        <v>271</v>
      </c>
      <c r="B65">
        <f t="shared" si="1"/>
        <v>271</v>
      </c>
      <c r="C65" s="14" t="s">
        <v>73</v>
      </c>
      <c r="D65" s="128">
        <v>52405383</v>
      </c>
      <c r="E65" s="128">
        <v>4266286</v>
      </c>
      <c r="F65" s="128">
        <f t="shared" si="2"/>
        <v>56671669</v>
      </c>
      <c r="G65" s="206">
        <v>10339</v>
      </c>
      <c r="H65" s="207">
        <f t="shared" si="13"/>
        <v>5481.349163362027</v>
      </c>
      <c r="I65" s="182">
        <f t="shared" si="4"/>
        <v>3.2426801573190472E-2</v>
      </c>
      <c r="J65" s="5">
        <f>Calculations!AS65</f>
        <v>56477799.529943615</v>
      </c>
      <c r="K65" s="5">
        <f t="shared" si="5"/>
        <v>4658558.1988420002</v>
      </c>
      <c r="L65" s="5">
        <f t="shared" si="6"/>
        <v>61136357.728785619</v>
      </c>
      <c r="M65" s="119">
        <f>'Student Enrollment Data'!CK66</f>
        <v>10394.551694677872</v>
      </c>
      <c r="N65" s="5">
        <f t="shared" si="12"/>
        <v>5881.5771496993111</v>
      </c>
      <c r="O65" s="248">
        <f>F65*('Front page'!$H$11+1)</f>
        <v>58371819.07</v>
      </c>
      <c r="P65" s="250">
        <f>H65*('Front page'!$H$10+1)</f>
        <v>5755.4166215301284</v>
      </c>
      <c r="Q65" s="250">
        <f t="shared" si="14"/>
        <v>59824975.59690319</v>
      </c>
      <c r="R65" s="250">
        <f t="shared" si="15"/>
        <v>-1311382.1318824291</v>
      </c>
      <c r="S65" s="7">
        <f t="shared" si="16"/>
        <v>61136357.728785619</v>
      </c>
      <c r="T65" s="7">
        <f t="shared" si="17"/>
        <v>0</v>
      </c>
      <c r="U65" s="5">
        <f t="shared" si="18"/>
        <v>0</v>
      </c>
    </row>
    <row r="66" spans="1:21">
      <c r="A66" t="str">
        <f t="shared" si="0"/>
        <v>272</v>
      </c>
      <c r="B66">
        <f t="shared" si="1"/>
        <v>272</v>
      </c>
      <c r="C66" s="14" t="s">
        <v>74</v>
      </c>
      <c r="D66" s="128">
        <v>22046970.469999999</v>
      </c>
      <c r="E66" s="128">
        <v>2147777.5999999996</v>
      </c>
      <c r="F66" s="128">
        <f t="shared" si="2"/>
        <v>24194748.07</v>
      </c>
      <c r="G66" s="206">
        <v>4221</v>
      </c>
      <c r="H66" s="207">
        <f t="shared" si="13"/>
        <v>5731.9943307273161</v>
      </c>
      <c r="I66" s="182">
        <f t="shared" si="4"/>
        <v>1.3843924285681847E-2</v>
      </c>
      <c r="J66" s="5">
        <f>Calculations!AS66</f>
        <v>23460840.433389656</v>
      </c>
      <c r="K66" s="5">
        <f t="shared" si="5"/>
        <v>2345259.3069871995</v>
      </c>
      <c r="L66" s="5">
        <f t="shared" si="6"/>
        <v>25806099.740376856</v>
      </c>
      <c r="M66" s="119">
        <f>'Student Enrollment Data'!CK67</f>
        <v>4306.0808823529414</v>
      </c>
      <c r="N66" s="5">
        <f t="shared" si="12"/>
        <v>5992.9435710635817</v>
      </c>
      <c r="O66" s="248">
        <f>F66*('Front page'!$H$11+1)</f>
        <v>24920590.5121</v>
      </c>
      <c r="P66" s="250">
        <f>H66*('Front page'!$H$10+1)</f>
        <v>6018.5940472636821</v>
      </c>
      <c r="Q66" s="250">
        <f t="shared" si="14"/>
        <v>25916552.765565358</v>
      </c>
      <c r="R66" s="250">
        <f t="shared" si="15"/>
        <v>0</v>
      </c>
      <c r="S66" s="7">
        <f t="shared" si="16"/>
        <v>25806099.740376856</v>
      </c>
      <c r="T66" s="7">
        <f t="shared" si="17"/>
        <v>0</v>
      </c>
      <c r="U66" s="5">
        <f t="shared" si="18"/>
        <v>0</v>
      </c>
    </row>
    <row r="67" spans="1:21">
      <c r="A67" t="str">
        <f t="shared" ref="A67:A130" si="19">RIGHT(C67,3)</f>
        <v>273</v>
      </c>
      <c r="B67">
        <f t="shared" ref="B67:B130" si="20">A67*1</f>
        <v>273</v>
      </c>
      <c r="C67" s="14" t="s">
        <v>75</v>
      </c>
      <c r="D67" s="128">
        <v>29173852.130000003</v>
      </c>
      <c r="E67" s="128">
        <v>2479988.08</v>
      </c>
      <c r="F67" s="128">
        <f t="shared" ref="F67:F130" si="21">D67+E67</f>
        <v>31653840.210000001</v>
      </c>
      <c r="G67" s="206">
        <v>5617.5</v>
      </c>
      <c r="H67" s="207">
        <f t="shared" si="13"/>
        <v>5634.8625206942588</v>
      </c>
      <c r="I67" s="182">
        <f t="shared" ref="I67:I130" si="22">F67/$F$177</f>
        <v>1.8111921064458993E-2</v>
      </c>
      <c r="J67" s="5">
        <f>Calculations!AS67</f>
        <v>31712037.728546612</v>
      </c>
      <c r="K67" s="5">
        <f t="shared" ref="K67:K130" si="23">E67*1.091947</f>
        <v>2708015.5439917599</v>
      </c>
      <c r="L67" s="5">
        <f t="shared" ref="L67:L130" si="24">J67+K67</f>
        <v>34420053.272538371</v>
      </c>
      <c r="M67" s="119">
        <f>'Student Enrollment Data'!CK68</f>
        <v>5814.4031960784314</v>
      </c>
      <c r="N67" s="5">
        <f t="shared" si="12"/>
        <v>5919.7912686470108</v>
      </c>
      <c r="O67" s="248">
        <f>F67*('Front page'!$H$11+1)</f>
        <v>32603455.416300002</v>
      </c>
      <c r="P67" s="250">
        <f>H67*('Front page'!$H$10+1)</f>
        <v>5916.6056467289718</v>
      </c>
      <c r="Q67" s="250">
        <f t="shared" ref="Q67:Q98" si="25">P67*M67</f>
        <v>34401530.78227663</v>
      </c>
      <c r="R67" s="250">
        <f t="shared" ref="R67:R98" si="26">IF(H67=0,0,IF(Q67&lt;L67,Q67-L67,0))</f>
        <v>-18522.490261740983</v>
      </c>
      <c r="S67" s="7">
        <f t="shared" ref="S67:S98" si="27">MAX(O67,F67,L67)</f>
        <v>34420053.272538371</v>
      </c>
      <c r="T67" s="7">
        <f t="shared" ref="T67:T98" si="28">S67-L67</f>
        <v>0</v>
      </c>
      <c r="U67" s="5">
        <f t="shared" ref="U67:U98" si="29">MAX(L67,F67)-L67</f>
        <v>0</v>
      </c>
    </row>
    <row r="68" spans="1:21">
      <c r="A68" t="str">
        <f t="shared" si="19"/>
        <v>274</v>
      </c>
      <c r="B68">
        <f t="shared" si="20"/>
        <v>274</v>
      </c>
      <c r="C68" s="14" t="s">
        <v>76</v>
      </c>
      <c r="D68" s="128">
        <v>1395332.5</v>
      </c>
      <c r="E68" s="128">
        <v>218962.76</v>
      </c>
      <c r="F68" s="128">
        <f t="shared" si="21"/>
        <v>1614295.26</v>
      </c>
      <c r="G68" s="206">
        <v>134</v>
      </c>
      <c r="H68" s="207">
        <f t="shared" si="13"/>
        <v>12046.979552238807</v>
      </c>
      <c r="I68" s="182">
        <f t="shared" si="22"/>
        <v>9.2367902693252105E-4</v>
      </c>
      <c r="J68" s="5">
        <f>Calculations!AS68</f>
        <v>1580667.6333263037</v>
      </c>
      <c r="K68" s="5">
        <f t="shared" si="23"/>
        <v>239095.72889372002</v>
      </c>
      <c r="L68" s="5">
        <f t="shared" si="24"/>
        <v>1819763.3622200238</v>
      </c>
      <c r="M68" s="119">
        <f>'Student Enrollment Data'!CK69</f>
        <v>135.5</v>
      </c>
      <c r="N68" s="5">
        <f t="shared" ref="N68:N131" si="30">L68/M68</f>
        <v>13429.987913062905</v>
      </c>
      <c r="O68" s="248">
        <f>F68*('Front page'!$H$11+1)</f>
        <v>1662724.1178000001</v>
      </c>
      <c r="P68" s="250">
        <f>H68*('Front page'!$H$10+1)</f>
        <v>12649.328529850747</v>
      </c>
      <c r="Q68" s="250">
        <f t="shared" si="25"/>
        <v>1713984.0157947761</v>
      </c>
      <c r="R68" s="250">
        <f t="shared" si="26"/>
        <v>-105779.34642524761</v>
      </c>
      <c r="S68" s="7">
        <f t="shared" si="27"/>
        <v>1819763.3622200238</v>
      </c>
      <c r="T68" s="7">
        <f t="shared" si="28"/>
        <v>0</v>
      </c>
      <c r="U68" s="5">
        <f t="shared" si="29"/>
        <v>0</v>
      </c>
    </row>
    <row r="69" spans="1:21">
      <c r="A69" t="str">
        <f t="shared" si="19"/>
        <v>281</v>
      </c>
      <c r="B69">
        <f t="shared" si="20"/>
        <v>281</v>
      </c>
      <c r="C69" s="14" t="s">
        <v>77</v>
      </c>
      <c r="D69" s="128">
        <v>11721234</v>
      </c>
      <c r="E69" s="128">
        <v>1253086</v>
      </c>
      <c r="F69" s="128">
        <f t="shared" si="21"/>
        <v>12974320</v>
      </c>
      <c r="G69" s="206">
        <v>2275</v>
      </c>
      <c r="H69" s="207">
        <f t="shared" si="13"/>
        <v>5702.9978021978022</v>
      </c>
      <c r="I69" s="182">
        <f t="shared" si="22"/>
        <v>7.423739367673759E-3</v>
      </c>
      <c r="J69" s="5">
        <f>Calculations!AS69</f>
        <v>12225145.397644017</v>
      </c>
      <c r="K69" s="5">
        <f t="shared" si="23"/>
        <v>1368303.498442</v>
      </c>
      <c r="L69" s="5">
        <f t="shared" si="24"/>
        <v>13593448.896086017</v>
      </c>
      <c r="M69" s="119">
        <f>'Student Enrollment Data'!CK70</f>
        <v>2245</v>
      </c>
      <c r="N69" s="5">
        <f t="shared" si="30"/>
        <v>6054.9883724213887</v>
      </c>
      <c r="O69" s="248">
        <f>F69*('Front page'!$H$11+1)</f>
        <v>13363549.6</v>
      </c>
      <c r="P69" s="250">
        <f>H69*('Front page'!$H$10+1)</f>
        <v>5988.1476923076925</v>
      </c>
      <c r="Q69" s="250">
        <f t="shared" si="25"/>
        <v>13443391.569230769</v>
      </c>
      <c r="R69" s="250">
        <f t="shared" si="26"/>
        <v>-150057.32685524784</v>
      </c>
      <c r="S69" s="7">
        <f t="shared" si="27"/>
        <v>13593448.896086017</v>
      </c>
      <c r="T69" s="7">
        <f t="shared" si="28"/>
        <v>0</v>
      </c>
      <c r="U69" s="5">
        <f t="shared" si="29"/>
        <v>0</v>
      </c>
    </row>
    <row r="70" spans="1:21">
      <c r="A70" t="str">
        <f t="shared" si="19"/>
        <v>282</v>
      </c>
      <c r="B70">
        <f t="shared" si="20"/>
        <v>282</v>
      </c>
      <c r="C70" s="14" t="s">
        <v>78</v>
      </c>
      <c r="D70" s="128">
        <v>2291006.7299999995</v>
      </c>
      <c r="E70" s="128">
        <v>249781.09</v>
      </c>
      <c r="F70" s="128">
        <f t="shared" si="21"/>
        <v>2540787.8199999994</v>
      </c>
      <c r="G70" s="206">
        <v>302</v>
      </c>
      <c r="H70" s="207">
        <f t="shared" si="13"/>
        <v>8413.2047019867532</v>
      </c>
      <c r="I70" s="182">
        <f t="shared" si="22"/>
        <v>1.4538061774520734E-3</v>
      </c>
      <c r="J70" s="5">
        <f>Calculations!AS70</f>
        <v>2353037.2113077687</v>
      </c>
      <c r="K70" s="5">
        <f t="shared" si="23"/>
        <v>272747.71188223001</v>
      </c>
      <c r="L70" s="5">
        <f t="shared" si="24"/>
        <v>2625784.9231899986</v>
      </c>
      <c r="M70" s="119">
        <f>'Student Enrollment Data'!CK71</f>
        <v>282</v>
      </c>
      <c r="N70" s="5">
        <f t="shared" si="30"/>
        <v>9311.2940538652438</v>
      </c>
      <c r="O70" s="248">
        <f>F70*('Front page'!$H$11+1)</f>
        <v>2617011.4545999994</v>
      </c>
      <c r="P70" s="250">
        <f>H70*('Front page'!$H$10+1)</f>
        <v>8833.8649370860912</v>
      </c>
      <c r="Q70" s="250">
        <f t="shared" si="25"/>
        <v>2491149.9122582776</v>
      </c>
      <c r="R70" s="250">
        <f t="shared" si="26"/>
        <v>-134635.01093172096</v>
      </c>
      <c r="S70" s="7">
        <f t="shared" si="27"/>
        <v>2625784.9231899986</v>
      </c>
      <c r="T70" s="7">
        <f t="shared" si="28"/>
        <v>0</v>
      </c>
      <c r="U70" s="5">
        <f t="shared" si="29"/>
        <v>0</v>
      </c>
    </row>
    <row r="71" spans="1:21">
      <c r="A71" t="str">
        <f t="shared" si="19"/>
        <v>283</v>
      </c>
      <c r="B71">
        <f t="shared" si="20"/>
        <v>283</v>
      </c>
      <c r="C71" s="14" t="s">
        <v>79</v>
      </c>
      <c r="D71" s="128">
        <v>1831852.0299999998</v>
      </c>
      <c r="E71" s="128">
        <v>239061.18</v>
      </c>
      <c r="F71" s="128">
        <f t="shared" si="21"/>
        <v>2070913.2099999997</v>
      </c>
      <c r="G71" s="206">
        <v>222</v>
      </c>
      <c r="H71" s="207">
        <f t="shared" si="13"/>
        <v>9328.4378828828812</v>
      </c>
      <c r="I71" s="182">
        <f t="shared" si="22"/>
        <v>1.1849499568464962E-3</v>
      </c>
      <c r="J71" s="5">
        <f>Calculations!AS71</f>
        <v>1942039.3501333259</v>
      </c>
      <c r="K71" s="5">
        <f t="shared" si="23"/>
        <v>261042.13831745999</v>
      </c>
      <c r="L71" s="5">
        <f t="shared" si="24"/>
        <v>2203081.4884507861</v>
      </c>
      <c r="M71" s="119">
        <f>'Student Enrollment Data'!CK72</f>
        <v>225</v>
      </c>
      <c r="N71" s="5">
        <f t="shared" si="30"/>
        <v>9791.4732820034933</v>
      </c>
      <c r="O71" s="248">
        <f>F71*('Front page'!$H$11+1)</f>
        <v>2133040.6062999996</v>
      </c>
      <c r="P71" s="250">
        <f>H71*('Front page'!$H$10+1)</f>
        <v>9794.8597770270262</v>
      </c>
      <c r="Q71" s="250">
        <f t="shared" si="25"/>
        <v>2203843.4498310811</v>
      </c>
      <c r="R71" s="250">
        <f t="shared" si="26"/>
        <v>0</v>
      </c>
      <c r="S71" s="7">
        <f t="shared" si="27"/>
        <v>2203081.4884507861</v>
      </c>
      <c r="T71" s="7">
        <f t="shared" si="28"/>
        <v>0</v>
      </c>
      <c r="U71" s="5">
        <f t="shared" si="29"/>
        <v>0</v>
      </c>
    </row>
    <row r="72" spans="1:21">
      <c r="A72" t="str">
        <f t="shared" si="19"/>
        <v>285</v>
      </c>
      <c r="B72">
        <f t="shared" si="20"/>
        <v>285</v>
      </c>
      <c r="C72" s="14" t="s">
        <v>80</v>
      </c>
      <c r="D72" s="128">
        <v>2843882.02</v>
      </c>
      <c r="E72" s="128">
        <v>347149.46</v>
      </c>
      <c r="F72" s="128">
        <f t="shared" si="21"/>
        <v>3191031.48</v>
      </c>
      <c r="G72" s="206">
        <v>429</v>
      </c>
      <c r="H72" s="207">
        <f t="shared" si="13"/>
        <v>7438.3018181818179</v>
      </c>
      <c r="I72" s="182">
        <f t="shared" si="22"/>
        <v>1.8258672532789587E-3</v>
      </c>
      <c r="J72" s="5">
        <f>Calculations!AS72</f>
        <v>3302211.1732585677</v>
      </c>
      <c r="K72" s="5">
        <f t="shared" si="23"/>
        <v>379068.81139862002</v>
      </c>
      <c r="L72" s="5">
        <f t="shared" si="24"/>
        <v>3681279.9846571879</v>
      </c>
      <c r="M72" s="119">
        <f>'Student Enrollment Data'!CK73</f>
        <v>446.5</v>
      </c>
      <c r="N72" s="5">
        <f t="shared" si="30"/>
        <v>8244.748005951149</v>
      </c>
      <c r="O72" s="248">
        <f>F72*('Front page'!$H$11+1)</f>
        <v>3286762.4243999999</v>
      </c>
      <c r="P72" s="250">
        <f>H72*('Front page'!$H$10+1)</f>
        <v>7810.2169090909092</v>
      </c>
      <c r="Q72" s="250">
        <f t="shared" si="25"/>
        <v>3487261.8499090909</v>
      </c>
      <c r="R72" s="250">
        <f t="shared" si="26"/>
        <v>-194018.13474809704</v>
      </c>
      <c r="S72" s="7">
        <f t="shared" si="27"/>
        <v>3681279.9846571879</v>
      </c>
      <c r="T72" s="7">
        <f t="shared" si="28"/>
        <v>0</v>
      </c>
      <c r="U72" s="5">
        <f t="shared" si="29"/>
        <v>0</v>
      </c>
    </row>
    <row r="73" spans="1:21">
      <c r="A73" t="str">
        <f t="shared" si="19"/>
        <v>287</v>
      </c>
      <c r="B73">
        <f t="shared" si="20"/>
        <v>287</v>
      </c>
      <c r="C73" s="14" t="s">
        <v>81</v>
      </c>
      <c r="D73" s="128">
        <v>1953683.63</v>
      </c>
      <c r="E73" s="128">
        <v>183998.5</v>
      </c>
      <c r="F73" s="128">
        <f t="shared" si="21"/>
        <v>2137682.13</v>
      </c>
      <c r="G73" s="206">
        <v>257</v>
      </c>
      <c r="H73" s="207">
        <f t="shared" si="13"/>
        <v>8317.8292996108939</v>
      </c>
      <c r="I73" s="182">
        <f t="shared" si="22"/>
        <v>1.2231542758351646E-3</v>
      </c>
      <c r="J73" s="5">
        <f>Calculations!AS73</f>
        <v>2209372.1739281104</v>
      </c>
      <c r="K73" s="5">
        <f t="shared" si="23"/>
        <v>200916.61007950001</v>
      </c>
      <c r="L73" s="5">
        <f t="shared" si="24"/>
        <v>2410288.7840076103</v>
      </c>
      <c r="M73" s="119">
        <f>'Student Enrollment Data'!CK74</f>
        <v>261.5</v>
      </c>
      <c r="N73" s="5">
        <f t="shared" si="30"/>
        <v>9217.1655220176308</v>
      </c>
      <c r="O73" s="248">
        <f>F73*('Front page'!$H$11+1)</f>
        <v>2201812.5938999997</v>
      </c>
      <c r="P73" s="250">
        <f>H73*('Front page'!$H$10+1)</f>
        <v>8733.7207645914386</v>
      </c>
      <c r="Q73" s="250">
        <f t="shared" si="25"/>
        <v>2283867.9799406612</v>
      </c>
      <c r="R73" s="250">
        <f t="shared" si="26"/>
        <v>-126420.80406694906</v>
      </c>
      <c r="S73" s="7">
        <f t="shared" si="27"/>
        <v>2410288.7840076103</v>
      </c>
      <c r="T73" s="7">
        <f t="shared" si="28"/>
        <v>0</v>
      </c>
      <c r="U73" s="5">
        <f t="shared" si="29"/>
        <v>0</v>
      </c>
    </row>
    <row r="74" spans="1:21">
      <c r="A74" t="str">
        <f t="shared" si="19"/>
        <v>288</v>
      </c>
      <c r="B74">
        <f t="shared" si="20"/>
        <v>288</v>
      </c>
      <c r="C74" s="14" t="s">
        <v>82</v>
      </c>
      <c r="D74" s="128">
        <v>1960641.96</v>
      </c>
      <c r="E74" s="128">
        <v>261096.54</v>
      </c>
      <c r="F74" s="128">
        <f t="shared" si="21"/>
        <v>2221738.5</v>
      </c>
      <c r="G74" s="206">
        <v>225</v>
      </c>
      <c r="H74" s="207">
        <f t="shared" si="13"/>
        <v>9874.3933333333334</v>
      </c>
      <c r="I74" s="182">
        <f t="shared" si="22"/>
        <v>1.27125025181485E-3</v>
      </c>
      <c r="J74" s="5">
        <f>Calculations!AS74</f>
        <v>2287749.1135662999</v>
      </c>
      <c r="K74" s="5">
        <f t="shared" si="23"/>
        <v>285103.58356338</v>
      </c>
      <c r="L74" s="5">
        <f t="shared" si="24"/>
        <v>2572852.6971296798</v>
      </c>
      <c r="M74" s="119">
        <f>'Student Enrollment Data'!CK75</f>
        <v>232.5</v>
      </c>
      <c r="N74" s="5">
        <f t="shared" si="30"/>
        <v>11066.033105934106</v>
      </c>
      <c r="O74" s="248">
        <f>F74*('Front page'!$H$11+1)</f>
        <v>2288390.6550000003</v>
      </c>
      <c r="P74" s="250">
        <f>H74*('Front page'!$H$10+1)</f>
        <v>10368.113000000001</v>
      </c>
      <c r="Q74" s="250">
        <f t="shared" si="25"/>
        <v>2410586.2725000004</v>
      </c>
      <c r="R74" s="250">
        <f t="shared" si="26"/>
        <v>-162266.42462967942</v>
      </c>
      <c r="S74" s="7">
        <f t="shared" si="27"/>
        <v>2572852.6971296798</v>
      </c>
      <c r="T74" s="7">
        <f t="shared" si="28"/>
        <v>0</v>
      </c>
      <c r="U74" s="5">
        <f t="shared" si="29"/>
        <v>0</v>
      </c>
    </row>
    <row r="75" spans="1:21">
      <c r="A75" t="str">
        <f t="shared" si="19"/>
        <v>291</v>
      </c>
      <c r="B75">
        <f t="shared" si="20"/>
        <v>291</v>
      </c>
      <c r="C75" s="14" t="s">
        <v>83</v>
      </c>
      <c r="D75" s="128">
        <v>4540409</v>
      </c>
      <c r="E75" s="128">
        <v>461584</v>
      </c>
      <c r="F75" s="128">
        <f t="shared" si="21"/>
        <v>5001993</v>
      </c>
      <c r="G75" s="206">
        <v>765.5</v>
      </c>
      <c r="H75" s="207">
        <f t="shared" si="13"/>
        <v>6534.2821685173094</v>
      </c>
      <c r="I75" s="182">
        <f t="shared" si="22"/>
        <v>2.8620761898063688E-3</v>
      </c>
      <c r="J75" s="5">
        <f>Calculations!AS75</f>
        <v>4867377.257187495</v>
      </c>
      <c r="K75" s="5">
        <f t="shared" si="23"/>
        <v>504025.26404799998</v>
      </c>
      <c r="L75" s="5">
        <f t="shared" si="24"/>
        <v>5371402.5212354949</v>
      </c>
      <c r="M75" s="119">
        <f>'Student Enrollment Data'!CK76</f>
        <v>751.5</v>
      </c>
      <c r="N75" s="5">
        <f t="shared" si="30"/>
        <v>7147.5748785568794</v>
      </c>
      <c r="O75" s="248">
        <f>F75*('Front page'!$H$11+1)</f>
        <v>5152052.79</v>
      </c>
      <c r="P75" s="250">
        <f>H75*('Front page'!$H$10+1)</f>
        <v>6860.996276943175</v>
      </c>
      <c r="Q75" s="250">
        <f t="shared" si="25"/>
        <v>5156038.7021227963</v>
      </c>
      <c r="R75" s="250">
        <f t="shared" si="26"/>
        <v>-215363.81911269855</v>
      </c>
      <c r="S75" s="7">
        <f t="shared" si="27"/>
        <v>5371402.5212354949</v>
      </c>
      <c r="T75" s="7">
        <f t="shared" si="28"/>
        <v>0</v>
      </c>
      <c r="U75" s="5">
        <f t="shared" si="29"/>
        <v>0</v>
      </c>
    </row>
    <row r="76" spans="1:21">
      <c r="A76" t="str">
        <f t="shared" si="19"/>
        <v>292</v>
      </c>
      <c r="B76">
        <f t="shared" si="20"/>
        <v>292</v>
      </c>
      <c r="C76" s="14" t="s">
        <v>84</v>
      </c>
      <c r="D76" s="128">
        <v>1400734.55</v>
      </c>
      <c r="E76" s="128">
        <v>136147.91</v>
      </c>
      <c r="F76" s="128">
        <f t="shared" si="21"/>
        <v>1536882.46</v>
      </c>
      <c r="G76" s="206">
        <v>94</v>
      </c>
      <c r="H76" s="207">
        <f t="shared" si="13"/>
        <v>16349.813404255319</v>
      </c>
      <c r="I76" s="182">
        <f t="shared" si="22"/>
        <v>8.7938441643101845E-4</v>
      </c>
      <c r="J76" s="5">
        <f>Calculations!AS76</f>
        <v>1636332.0645452503</v>
      </c>
      <c r="K76" s="5">
        <f t="shared" si="23"/>
        <v>148666.30188077001</v>
      </c>
      <c r="L76" s="5">
        <f t="shared" si="24"/>
        <v>1784998.3664260204</v>
      </c>
      <c r="M76" s="119">
        <f>'Student Enrollment Data'!CK77</f>
        <v>99.5</v>
      </c>
      <c r="N76" s="5">
        <f t="shared" si="30"/>
        <v>17939.682074633372</v>
      </c>
      <c r="O76" s="248">
        <f>F76*('Front page'!$H$11+1)</f>
        <v>1582988.9338</v>
      </c>
      <c r="P76" s="250">
        <f>H76*('Front page'!$H$10+1)</f>
        <v>17167.304074468087</v>
      </c>
      <c r="Q76" s="250">
        <f t="shared" si="25"/>
        <v>1708146.7554095746</v>
      </c>
      <c r="R76" s="250">
        <f t="shared" si="26"/>
        <v>-76851.611016445793</v>
      </c>
      <c r="S76" s="7">
        <f t="shared" si="27"/>
        <v>1784998.3664260204</v>
      </c>
      <c r="T76" s="7">
        <f t="shared" si="28"/>
        <v>0</v>
      </c>
      <c r="U76" s="5">
        <f t="shared" si="29"/>
        <v>0</v>
      </c>
    </row>
    <row r="77" spans="1:21">
      <c r="A77" t="str">
        <f t="shared" si="19"/>
        <v>302</v>
      </c>
      <c r="B77">
        <f t="shared" si="20"/>
        <v>302</v>
      </c>
      <c r="C77" s="14" t="s">
        <v>85</v>
      </c>
      <c r="D77" s="128">
        <v>1594818.79</v>
      </c>
      <c r="E77" s="128">
        <v>175603.16999999998</v>
      </c>
      <c r="F77" s="128">
        <f t="shared" si="21"/>
        <v>1770421.96</v>
      </c>
      <c r="G77" s="206">
        <v>139.5</v>
      </c>
      <c r="H77" s="207">
        <f t="shared" si="13"/>
        <v>12691.196845878136</v>
      </c>
      <c r="I77" s="182">
        <f t="shared" si="22"/>
        <v>1.0130127206548116E-3</v>
      </c>
      <c r="J77" s="5">
        <f>Calculations!AS77</f>
        <v>1602466.1616024673</v>
      </c>
      <c r="K77" s="5">
        <f t="shared" si="23"/>
        <v>191749.35467198998</v>
      </c>
      <c r="L77" s="5">
        <f t="shared" si="24"/>
        <v>1794215.5162744573</v>
      </c>
      <c r="M77" s="119">
        <f>'Student Enrollment Data'!CK78</f>
        <v>137</v>
      </c>
      <c r="N77" s="5">
        <f t="shared" si="30"/>
        <v>13096.463622441295</v>
      </c>
      <c r="O77" s="248">
        <f>F77*('Front page'!$H$11+1)</f>
        <v>1823534.6188000001</v>
      </c>
      <c r="P77" s="250">
        <f>H77*('Front page'!$H$10+1)</f>
        <v>13325.756688172043</v>
      </c>
      <c r="Q77" s="250">
        <f t="shared" si="25"/>
        <v>1825628.66627957</v>
      </c>
      <c r="R77" s="250">
        <f t="shared" si="26"/>
        <v>0</v>
      </c>
      <c r="S77" s="7">
        <f t="shared" si="27"/>
        <v>1823534.6188000001</v>
      </c>
      <c r="T77" s="7">
        <f t="shared" si="28"/>
        <v>29319.102525542723</v>
      </c>
      <c r="U77" s="5">
        <f t="shared" si="29"/>
        <v>0</v>
      </c>
    </row>
    <row r="78" spans="1:21">
      <c r="A78" t="str">
        <f t="shared" si="19"/>
        <v>304</v>
      </c>
      <c r="B78">
        <f t="shared" si="20"/>
        <v>304</v>
      </c>
      <c r="C78" s="14" t="s">
        <v>86</v>
      </c>
      <c r="D78" s="128">
        <v>2708085.5799999996</v>
      </c>
      <c r="E78" s="128">
        <v>284194.26</v>
      </c>
      <c r="F78" s="128">
        <f t="shared" si="21"/>
        <v>2992279.84</v>
      </c>
      <c r="G78" s="206">
        <v>415</v>
      </c>
      <c r="H78" s="207">
        <f t="shared" si="13"/>
        <v>7210.3128674698792</v>
      </c>
      <c r="I78" s="182">
        <f t="shared" si="22"/>
        <v>1.7121441160156783E-3</v>
      </c>
      <c r="J78" s="5">
        <f>Calculations!AS78</f>
        <v>3178095.8958593803</v>
      </c>
      <c r="K78" s="5">
        <f t="shared" si="23"/>
        <v>310325.06962422002</v>
      </c>
      <c r="L78" s="5">
        <f t="shared" si="24"/>
        <v>3488420.9654836003</v>
      </c>
      <c r="M78" s="119">
        <f>'Student Enrollment Data'!CK79</f>
        <v>407</v>
      </c>
      <c r="N78" s="5">
        <f t="shared" si="30"/>
        <v>8571.0588832520898</v>
      </c>
      <c r="O78" s="248">
        <f>F78*('Front page'!$H$11+1)</f>
        <v>3082048.2352</v>
      </c>
      <c r="P78" s="250">
        <f>H78*('Front page'!$H$10+1)</f>
        <v>7570.8285108433738</v>
      </c>
      <c r="Q78" s="250">
        <f t="shared" si="25"/>
        <v>3081327.2039132533</v>
      </c>
      <c r="R78" s="250">
        <f t="shared" si="26"/>
        <v>-407093.76157034701</v>
      </c>
      <c r="S78" s="7">
        <f t="shared" si="27"/>
        <v>3488420.9654836003</v>
      </c>
      <c r="T78" s="7">
        <f t="shared" si="28"/>
        <v>0</v>
      </c>
      <c r="U78" s="5">
        <f t="shared" si="29"/>
        <v>0</v>
      </c>
    </row>
    <row r="79" spans="1:21">
      <c r="A79" t="str">
        <f t="shared" si="19"/>
        <v>305</v>
      </c>
      <c r="B79">
        <f t="shared" si="20"/>
        <v>305</v>
      </c>
      <c r="C79" s="14" t="s">
        <v>87</v>
      </c>
      <c r="D79" s="128">
        <v>1580739.9899999998</v>
      </c>
      <c r="E79" s="128">
        <v>264624</v>
      </c>
      <c r="F79" s="128">
        <f t="shared" si="21"/>
        <v>1845363.9899999998</v>
      </c>
      <c r="G79" s="206">
        <v>168</v>
      </c>
      <c r="H79" s="207">
        <f t="shared" si="13"/>
        <v>10984.309464285712</v>
      </c>
      <c r="I79" s="182">
        <f t="shared" si="22"/>
        <v>1.0558935882767284E-3</v>
      </c>
      <c r="J79" s="5">
        <f>Calculations!AS79</f>
        <v>1703368.2036346369</v>
      </c>
      <c r="K79" s="5">
        <f t="shared" si="23"/>
        <v>288955.38292800001</v>
      </c>
      <c r="L79" s="5">
        <f t="shared" si="24"/>
        <v>1992323.586562637</v>
      </c>
      <c r="M79" s="119">
        <f>'Student Enrollment Data'!CK80</f>
        <v>159</v>
      </c>
      <c r="N79" s="5">
        <f t="shared" si="30"/>
        <v>12530.337022406522</v>
      </c>
      <c r="O79" s="248">
        <f>F79*('Front page'!$H$11+1)</f>
        <v>1900724.9096999997</v>
      </c>
      <c r="P79" s="250">
        <f>H79*('Front page'!$H$10+1)</f>
        <v>11533.524937499998</v>
      </c>
      <c r="Q79" s="250">
        <f t="shared" si="25"/>
        <v>1833830.4650624997</v>
      </c>
      <c r="R79" s="250">
        <f t="shared" si="26"/>
        <v>-158493.12150013726</v>
      </c>
      <c r="S79" s="7">
        <f t="shared" si="27"/>
        <v>1992323.586562637</v>
      </c>
      <c r="T79" s="7">
        <f t="shared" si="28"/>
        <v>0</v>
      </c>
      <c r="U79" s="5">
        <f t="shared" si="29"/>
        <v>0</v>
      </c>
    </row>
    <row r="80" spans="1:21">
      <c r="A80" t="str">
        <f t="shared" si="19"/>
        <v>312</v>
      </c>
      <c r="B80">
        <f t="shared" si="20"/>
        <v>312</v>
      </c>
      <c r="C80" s="14" t="s">
        <v>88</v>
      </c>
      <c r="D80" s="128">
        <v>3331373.49</v>
      </c>
      <c r="E80" s="128">
        <v>301065.34999999998</v>
      </c>
      <c r="F80" s="128">
        <f t="shared" si="21"/>
        <v>3632438.8400000003</v>
      </c>
      <c r="G80" s="206">
        <v>500</v>
      </c>
      <c r="H80" s="207">
        <f t="shared" si="13"/>
        <v>7264.8776800000005</v>
      </c>
      <c r="I80" s="182">
        <f t="shared" si="22"/>
        <v>2.0784348788356697E-3</v>
      </c>
      <c r="J80" s="5">
        <f>Calculations!AS80</f>
        <v>3667429.3125472711</v>
      </c>
      <c r="K80" s="5">
        <f t="shared" si="23"/>
        <v>328747.40573644999</v>
      </c>
      <c r="L80" s="5">
        <f t="shared" si="24"/>
        <v>3996176.7182837212</v>
      </c>
      <c r="M80" s="119">
        <f>'Student Enrollment Data'!CK81</f>
        <v>478.5</v>
      </c>
      <c r="N80" s="5">
        <f t="shared" si="30"/>
        <v>8351.4664958907451</v>
      </c>
      <c r="O80" s="248">
        <f>F80*('Front page'!$H$11+1)</f>
        <v>3741412.0052000005</v>
      </c>
      <c r="P80" s="250">
        <f>H80*('Front page'!$H$10+1)</f>
        <v>7628.1215640000009</v>
      </c>
      <c r="Q80" s="250">
        <f t="shared" si="25"/>
        <v>3650056.1683740006</v>
      </c>
      <c r="R80" s="250">
        <f t="shared" si="26"/>
        <v>-346120.54990972066</v>
      </c>
      <c r="S80" s="7">
        <f t="shared" si="27"/>
        <v>3996176.7182837212</v>
      </c>
      <c r="T80" s="7">
        <f t="shared" si="28"/>
        <v>0</v>
      </c>
      <c r="U80" s="5">
        <f t="shared" si="29"/>
        <v>0</v>
      </c>
    </row>
    <row r="81" spans="1:21">
      <c r="A81" t="str">
        <f t="shared" si="19"/>
        <v>314</v>
      </c>
      <c r="B81">
        <f t="shared" si="20"/>
        <v>314</v>
      </c>
      <c r="C81" s="14" t="s">
        <v>89</v>
      </c>
      <c r="D81" s="128">
        <v>1715320.94</v>
      </c>
      <c r="E81" s="128">
        <v>322835.98</v>
      </c>
      <c r="F81" s="128">
        <f t="shared" si="21"/>
        <v>2038156.92</v>
      </c>
      <c r="G81" s="206">
        <v>200</v>
      </c>
      <c r="H81" s="207">
        <f t="shared" si="13"/>
        <v>10190.784599999999</v>
      </c>
      <c r="I81" s="182">
        <f t="shared" si="22"/>
        <v>1.166207228163071E-3</v>
      </c>
      <c r="J81" s="5">
        <f>Calculations!AS81</f>
        <v>1862418.6981527291</v>
      </c>
      <c r="K81" s="5">
        <f t="shared" si="23"/>
        <v>352519.77985305997</v>
      </c>
      <c r="L81" s="5">
        <f t="shared" si="24"/>
        <v>2214938.4780057892</v>
      </c>
      <c r="M81" s="119">
        <f>'Student Enrollment Data'!CK82</f>
        <v>203</v>
      </c>
      <c r="N81" s="5">
        <f t="shared" si="30"/>
        <v>10911.026985250193</v>
      </c>
      <c r="O81" s="248">
        <f>F81*('Front page'!$H$11+1)</f>
        <v>2099301.6275999998</v>
      </c>
      <c r="P81" s="250">
        <f>H81*('Front page'!$H$10+1)</f>
        <v>10700.323829999999</v>
      </c>
      <c r="Q81" s="250">
        <f t="shared" si="25"/>
        <v>2172165.7374899997</v>
      </c>
      <c r="R81" s="250">
        <f t="shared" si="26"/>
        <v>-42772.740515789483</v>
      </c>
      <c r="S81" s="7">
        <f t="shared" si="27"/>
        <v>2214938.4780057892</v>
      </c>
      <c r="T81" s="7">
        <f t="shared" si="28"/>
        <v>0</v>
      </c>
      <c r="U81" s="5">
        <f t="shared" si="29"/>
        <v>0</v>
      </c>
    </row>
    <row r="82" spans="1:21">
      <c r="A82" t="str">
        <f t="shared" si="19"/>
        <v>316</v>
      </c>
      <c r="B82">
        <f t="shared" si="20"/>
        <v>316</v>
      </c>
      <c r="C82" s="14" t="s">
        <v>90</v>
      </c>
      <c r="D82" s="128">
        <v>1627561.3599999999</v>
      </c>
      <c r="E82" s="128">
        <v>144430</v>
      </c>
      <c r="F82" s="128">
        <f t="shared" si="21"/>
        <v>1771991.3599999999</v>
      </c>
      <c r="G82" s="206">
        <v>181.5</v>
      </c>
      <c r="H82" s="207">
        <f t="shared" si="13"/>
        <v>9763.0377961432496</v>
      </c>
      <c r="I82" s="182">
        <f t="shared" si="22"/>
        <v>1.0139107111902406E-3</v>
      </c>
      <c r="J82" s="5">
        <f>Calculations!AS82</f>
        <v>1848416.1862253398</v>
      </c>
      <c r="K82" s="5">
        <f t="shared" si="23"/>
        <v>157709.90521</v>
      </c>
      <c r="L82" s="5">
        <f t="shared" si="24"/>
        <v>2006126.0914353398</v>
      </c>
      <c r="M82" s="119">
        <f>'Student Enrollment Data'!CK83</f>
        <v>177</v>
      </c>
      <c r="N82" s="5">
        <f t="shared" si="30"/>
        <v>11334.045714323953</v>
      </c>
      <c r="O82" s="248">
        <f>F82*('Front page'!$H$11+1)</f>
        <v>1825151.1007999999</v>
      </c>
      <c r="P82" s="250">
        <f>H82*('Front page'!$H$10+1)</f>
        <v>10251.189685950412</v>
      </c>
      <c r="Q82" s="250">
        <f t="shared" si="25"/>
        <v>1814460.574413223</v>
      </c>
      <c r="R82" s="250">
        <f t="shared" si="26"/>
        <v>-191665.51702211681</v>
      </c>
      <c r="S82" s="7">
        <f t="shared" si="27"/>
        <v>2006126.0914353398</v>
      </c>
      <c r="T82" s="7">
        <f t="shared" si="28"/>
        <v>0</v>
      </c>
      <c r="U82" s="5">
        <f t="shared" si="29"/>
        <v>0</v>
      </c>
    </row>
    <row r="83" spans="1:21">
      <c r="A83" t="str">
        <f t="shared" si="19"/>
        <v>321</v>
      </c>
      <c r="B83">
        <f t="shared" si="20"/>
        <v>321</v>
      </c>
      <c r="C83" s="14" t="s">
        <v>91</v>
      </c>
      <c r="D83" s="128">
        <v>25343757.650000002</v>
      </c>
      <c r="E83" s="128">
        <v>3064941.15</v>
      </c>
      <c r="F83" s="128">
        <f t="shared" si="21"/>
        <v>28408698.800000001</v>
      </c>
      <c r="G83" s="206">
        <v>5021</v>
      </c>
      <c r="H83" s="207">
        <f t="shared" si="13"/>
        <v>5657.9762597092213</v>
      </c>
      <c r="I83" s="182">
        <f t="shared" si="22"/>
        <v>1.6255092803780565E-2</v>
      </c>
      <c r="J83" s="5">
        <f>Calculations!AS83</f>
        <v>27454847.051036328</v>
      </c>
      <c r="K83" s="5">
        <f t="shared" si="23"/>
        <v>3346753.2939190497</v>
      </c>
      <c r="L83" s="5">
        <f t="shared" si="24"/>
        <v>30801600.344955377</v>
      </c>
      <c r="M83" s="119">
        <f>'Student Enrollment Data'!CK84</f>
        <v>5007.4784313725486</v>
      </c>
      <c r="N83" s="5">
        <f t="shared" si="30"/>
        <v>6151.1199233488596</v>
      </c>
      <c r="O83" s="248">
        <f>F83*('Front page'!$H$11+1)</f>
        <v>29260959.764000002</v>
      </c>
      <c r="P83" s="250">
        <f>H83*('Front page'!$H$10+1)</f>
        <v>5940.8750726946828</v>
      </c>
      <c r="Q83" s="250">
        <f t="shared" si="25"/>
        <v>29748803.789997447</v>
      </c>
      <c r="R83" s="250">
        <f t="shared" si="26"/>
        <v>-1052796.55495793</v>
      </c>
      <c r="S83" s="7">
        <f t="shared" si="27"/>
        <v>30801600.344955377</v>
      </c>
      <c r="T83" s="7">
        <f t="shared" si="28"/>
        <v>0</v>
      </c>
      <c r="U83" s="5">
        <f t="shared" si="29"/>
        <v>0</v>
      </c>
    </row>
    <row r="84" spans="1:21">
      <c r="A84" t="str">
        <f t="shared" si="19"/>
        <v>322</v>
      </c>
      <c r="B84">
        <f t="shared" si="20"/>
        <v>322</v>
      </c>
      <c r="C84" s="14" t="s">
        <v>92</v>
      </c>
      <c r="D84" s="128">
        <v>8637643.1600000001</v>
      </c>
      <c r="E84" s="128">
        <v>1037837.63</v>
      </c>
      <c r="F84" s="128">
        <f t="shared" si="21"/>
        <v>9675480.790000001</v>
      </c>
      <c r="G84" s="206">
        <v>1571.5</v>
      </c>
      <c r="H84" s="207">
        <f t="shared" si="13"/>
        <v>6156.8442825326129</v>
      </c>
      <c r="I84" s="182">
        <f t="shared" si="22"/>
        <v>5.5361859150918286E-3</v>
      </c>
      <c r="J84" s="5">
        <f>Calculations!AS84</f>
        <v>8635924.4566940069</v>
      </c>
      <c r="K84" s="5">
        <f t="shared" si="23"/>
        <v>1133263.6865656101</v>
      </c>
      <c r="L84" s="5">
        <f t="shared" si="24"/>
        <v>9769188.1432596166</v>
      </c>
      <c r="M84" s="119">
        <f>'Student Enrollment Data'!CK85</f>
        <v>1559</v>
      </c>
      <c r="N84" s="5">
        <f t="shared" si="30"/>
        <v>6266.3169616803189</v>
      </c>
      <c r="O84" s="248">
        <f>F84*('Front page'!$H$11+1)</f>
        <v>9965745.2137000021</v>
      </c>
      <c r="P84" s="250">
        <f>H84*('Front page'!$H$10+1)</f>
        <v>6464.6864966592439</v>
      </c>
      <c r="Q84" s="250">
        <f t="shared" si="25"/>
        <v>10078446.248291761</v>
      </c>
      <c r="R84" s="250">
        <f t="shared" si="26"/>
        <v>0</v>
      </c>
      <c r="S84" s="7">
        <f t="shared" si="27"/>
        <v>9965745.2137000021</v>
      </c>
      <c r="T84" s="7">
        <f t="shared" si="28"/>
        <v>196557.07044038549</v>
      </c>
      <c r="U84" s="5">
        <f t="shared" si="29"/>
        <v>0</v>
      </c>
    </row>
    <row r="85" spans="1:21">
      <c r="A85" t="str">
        <f t="shared" si="19"/>
        <v>331</v>
      </c>
      <c r="B85">
        <f t="shared" si="20"/>
        <v>331</v>
      </c>
      <c r="C85" s="14" t="s">
        <v>93</v>
      </c>
      <c r="D85" s="128">
        <v>21079759.91</v>
      </c>
      <c r="E85" s="128">
        <v>2771395.7800000003</v>
      </c>
      <c r="F85" s="128">
        <f t="shared" si="21"/>
        <v>23851155.690000001</v>
      </c>
      <c r="G85" s="206">
        <v>3993</v>
      </c>
      <c r="H85" s="207">
        <f t="shared" si="13"/>
        <v>5973.2420961682947</v>
      </c>
      <c r="I85" s="182">
        <f t="shared" si="22"/>
        <v>1.3647325136143473E-2</v>
      </c>
      <c r="J85" s="5">
        <f>Calculations!AS85</f>
        <v>23113553.025463425</v>
      </c>
      <c r="K85" s="5">
        <f t="shared" si="23"/>
        <v>3026217.3077836605</v>
      </c>
      <c r="L85" s="5">
        <f t="shared" si="24"/>
        <v>26139770.333247084</v>
      </c>
      <c r="M85" s="119">
        <f>'Student Enrollment Data'!CK86</f>
        <v>4068.3878959276017</v>
      </c>
      <c r="N85" s="5">
        <f t="shared" si="30"/>
        <v>6425.0929365443799</v>
      </c>
      <c r="O85" s="248">
        <f>F85*('Front page'!$H$11+1)</f>
        <v>24566690.360700004</v>
      </c>
      <c r="P85" s="250">
        <f>H85*('Front page'!$H$10+1)</f>
        <v>6271.9042009767099</v>
      </c>
      <c r="Q85" s="250">
        <f t="shared" si="25"/>
        <v>25516539.135671124</v>
      </c>
      <c r="R85" s="250">
        <f t="shared" si="26"/>
        <v>-623231.19757596031</v>
      </c>
      <c r="S85" s="7">
        <f t="shared" si="27"/>
        <v>26139770.333247084</v>
      </c>
      <c r="T85" s="7">
        <f t="shared" si="28"/>
        <v>0</v>
      </c>
      <c r="U85" s="5">
        <f t="shared" si="29"/>
        <v>0</v>
      </c>
    </row>
    <row r="86" spans="1:21">
      <c r="A86" t="str">
        <f t="shared" si="19"/>
        <v>340</v>
      </c>
      <c r="B86">
        <f t="shared" si="20"/>
        <v>340</v>
      </c>
      <c r="C86" s="14" t="s">
        <v>94</v>
      </c>
      <c r="D86" s="128">
        <v>23480938.120000001</v>
      </c>
      <c r="E86" s="128">
        <v>2088489.71</v>
      </c>
      <c r="F86" s="128">
        <f t="shared" si="21"/>
        <v>25569427.830000002</v>
      </c>
      <c r="G86" s="206">
        <v>4503</v>
      </c>
      <c r="H86" s="207">
        <f t="shared" si="13"/>
        <v>5678.3095336442375</v>
      </c>
      <c r="I86" s="182">
        <f t="shared" si="22"/>
        <v>1.4630498399181154E-2</v>
      </c>
      <c r="J86" s="5">
        <f>Calculations!AS86</f>
        <v>24723307.08974874</v>
      </c>
      <c r="K86" s="5">
        <f t="shared" si="23"/>
        <v>2280520.0733653698</v>
      </c>
      <c r="L86" s="5">
        <f t="shared" si="24"/>
        <v>27003827.163114108</v>
      </c>
      <c r="M86" s="119">
        <f>'Student Enrollment Data'!CK87</f>
        <v>4536.3426470588238</v>
      </c>
      <c r="N86" s="5">
        <f t="shared" si="30"/>
        <v>5952.7750137265903</v>
      </c>
      <c r="O86" s="248">
        <f>F86*('Front page'!$H$11+1)</f>
        <v>26336510.664900001</v>
      </c>
      <c r="P86" s="250">
        <f>H86*('Front page'!$H$10+1)</f>
        <v>5962.2250103264496</v>
      </c>
      <c r="Q86" s="250">
        <f t="shared" si="25"/>
        <v>27046695.58570461</v>
      </c>
      <c r="R86" s="250">
        <f t="shared" si="26"/>
        <v>0</v>
      </c>
      <c r="S86" s="7">
        <f t="shared" si="27"/>
        <v>27003827.163114108</v>
      </c>
      <c r="T86" s="7">
        <f t="shared" si="28"/>
        <v>0</v>
      </c>
      <c r="U86" s="5">
        <f t="shared" si="29"/>
        <v>0</v>
      </c>
    </row>
    <row r="87" spans="1:21">
      <c r="A87" t="str">
        <f t="shared" si="19"/>
        <v>341</v>
      </c>
      <c r="B87">
        <f t="shared" si="20"/>
        <v>341</v>
      </c>
      <c r="C87" s="14" t="s">
        <v>95</v>
      </c>
      <c r="D87" s="128">
        <v>2976903.4</v>
      </c>
      <c r="E87" s="128">
        <v>416509.65</v>
      </c>
      <c r="F87" s="128">
        <f t="shared" si="21"/>
        <v>3393413.05</v>
      </c>
      <c r="G87" s="206">
        <v>467.5</v>
      </c>
      <c r="H87" s="207">
        <f t="shared" si="13"/>
        <v>7258.6375401069517</v>
      </c>
      <c r="I87" s="182">
        <f t="shared" si="22"/>
        <v>1.9416673898950297E-3</v>
      </c>
      <c r="J87" s="5">
        <f>Calculations!AS87</f>
        <v>3510777.5916983802</v>
      </c>
      <c r="K87" s="5">
        <f t="shared" si="23"/>
        <v>454806.46278855001</v>
      </c>
      <c r="L87" s="5">
        <f t="shared" si="24"/>
        <v>3965584.0544869304</v>
      </c>
      <c r="M87" s="119">
        <f>'Student Enrollment Data'!CK88</f>
        <v>481.5</v>
      </c>
      <c r="N87" s="5">
        <f t="shared" si="30"/>
        <v>8235.8962710008946</v>
      </c>
      <c r="O87" s="248">
        <f>F87*('Front page'!$H$11+1)</f>
        <v>3495215.4414999997</v>
      </c>
      <c r="P87" s="250">
        <f>H87*('Front page'!$H$10+1)</f>
        <v>7621.5694171122996</v>
      </c>
      <c r="Q87" s="250">
        <f t="shared" si="25"/>
        <v>3669785.6743395724</v>
      </c>
      <c r="R87" s="250">
        <f t="shared" si="26"/>
        <v>-295798.38014735794</v>
      </c>
      <c r="S87" s="7">
        <f t="shared" si="27"/>
        <v>3965584.0544869304</v>
      </c>
      <c r="T87" s="7">
        <f t="shared" si="28"/>
        <v>0</v>
      </c>
      <c r="U87" s="5">
        <f t="shared" si="29"/>
        <v>0</v>
      </c>
    </row>
    <row r="88" spans="1:21">
      <c r="A88" t="str">
        <f t="shared" si="19"/>
        <v>342</v>
      </c>
      <c r="B88">
        <f t="shared" si="20"/>
        <v>342</v>
      </c>
      <c r="C88" s="14" t="s">
        <v>96</v>
      </c>
      <c r="D88" s="128">
        <v>1280405.07</v>
      </c>
      <c r="E88" s="128">
        <v>122720.94</v>
      </c>
      <c r="F88" s="128">
        <f t="shared" si="21"/>
        <v>1403126.01</v>
      </c>
      <c r="G88" s="206">
        <v>92</v>
      </c>
      <c r="H88" s="207">
        <f t="shared" si="13"/>
        <v>15251.369673913043</v>
      </c>
      <c r="I88" s="182">
        <f t="shared" si="22"/>
        <v>8.0285069261772524E-4</v>
      </c>
      <c r="J88" s="5">
        <f>Calculations!AS88</f>
        <v>1374360.0558591422</v>
      </c>
      <c r="K88" s="5">
        <f t="shared" si="23"/>
        <v>134004.76227018001</v>
      </c>
      <c r="L88" s="5">
        <f t="shared" si="24"/>
        <v>1508364.8181293223</v>
      </c>
      <c r="M88" s="119">
        <f>'Student Enrollment Data'!CK89</f>
        <v>85</v>
      </c>
      <c r="N88" s="5">
        <f t="shared" si="30"/>
        <v>17745.468448580261</v>
      </c>
      <c r="O88" s="248">
        <f>F88*('Front page'!$H$11+1)</f>
        <v>1445219.7903</v>
      </c>
      <c r="P88" s="250">
        <f>H88*('Front page'!$H$10+1)</f>
        <v>16013.938157608696</v>
      </c>
      <c r="Q88" s="250">
        <f t="shared" si="25"/>
        <v>1361184.7433967392</v>
      </c>
      <c r="R88" s="250">
        <f t="shared" si="26"/>
        <v>-147180.07473258302</v>
      </c>
      <c r="S88" s="7">
        <f t="shared" si="27"/>
        <v>1508364.8181293223</v>
      </c>
      <c r="T88" s="7">
        <f t="shared" si="28"/>
        <v>0</v>
      </c>
      <c r="U88" s="5">
        <f t="shared" si="29"/>
        <v>0</v>
      </c>
    </row>
    <row r="89" spans="1:21">
      <c r="A89" t="str">
        <f t="shared" si="19"/>
        <v>351</v>
      </c>
      <c r="B89">
        <f t="shared" si="20"/>
        <v>351</v>
      </c>
      <c r="C89" s="14" t="s">
        <v>97</v>
      </c>
      <c r="D89" s="128">
        <v>7093789.54</v>
      </c>
      <c r="E89" s="128">
        <v>572262.24999999988</v>
      </c>
      <c r="F89" s="128">
        <f t="shared" si="21"/>
        <v>7666051.79</v>
      </c>
      <c r="G89" s="206">
        <v>1351.5</v>
      </c>
      <c r="H89" s="207">
        <f t="shared" si="13"/>
        <v>5672.2543766185718</v>
      </c>
      <c r="I89" s="182">
        <f t="shared" si="22"/>
        <v>4.3864164340057044E-3</v>
      </c>
      <c r="J89" s="5">
        <f>Calculations!AS89</f>
        <v>13254889.41779653</v>
      </c>
      <c r="K89" s="5">
        <f t="shared" si="23"/>
        <v>624880.04710074991</v>
      </c>
      <c r="L89" s="5">
        <f t="shared" si="24"/>
        <v>13879769.464897281</v>
      </c>
      <c r="M89" s="119">
        <f>'Student Enrollment Data'!CK90</f>
        <v>2273</v>
      </c>
      <c r="N89" s="5">
        <f t="shared" si="30"/>
        <v>6106.3658006587248</v>
      </c>
      <c r="O89" s="248">
        <f>F89*('Front page'!$H$11+1)</f>
        <v>7896033.3437000001</v>
      </c>
      <c r="P89" s="250">
        <f>H89*('Front page'!$H$10+1)</f>
        <v>5955.867095449501</v>
      </c>
      <c r="Q89" s="250">
        <f t="shared" si="25"/>
        <v>13537685.907956716</v>
      </c>
      <c r="R89" s="250">
        <f t="shared" si="26"/>
        <v>-342083.55694056489</v>
      </c>
      <c r="S89" s="7">
        <f t="shared" si="27"/>
        <v>13879769.464897281</v>
      </c>
      <c r="T89" s="7">
        <f t="shared" si="28"/>
        <v>0</v>
      </c>
      <c r="U89" s="5">
        <f t="shared" si="29"/>
        <v>0</v>
      </c>
    </row>
    <row r="90" spans="1:21">
      <c r="A90" t="str">
        <f t="shared" si="19"/>
        <v>363</v>
      </c>
      <c r="B90">
        <f t="shared" si="20"/>
        <v>363</v>
      </c>
      <c r="C90" s="14" t="s">
        <v>98</v>
      </c>
      <c r="D90" s="128">
        <v>4475216.5999999996</v>
      </c>
      <c r="E90" s="128">
        <v>560094.87999999989</v>
      </c>
      <c r="F90" s="128">
        <f t="shared" si="21"/>
        <v>5035311.4799999995</v>
      </c>
      <c r="G90" s="206">
        <v>794.5</v>
      </c>
      <c r="H90" s="207">
        <f t="shared" si="13"/>
        <v>6337.711113908118</v>
      </c>
      <c r="I90" s="182">
        <f t="shared" si="22"/>
        <v>2.8811405963916118E-3</v>
      </c>
      <c r="J90" s="5">
        <f>Calculations!AS90</f>
        <v>5316367.671939292</v>
      </c>
      <c r="K90" s="5">
        <f t="shared" si="23"/>
        <v>611593.9239313599</v>
      </c>
      <c r="L90" s="5">
        <f t="shared" si="24"/>
        <v>5927961.5958706522</v>
      </c>
      <c r="M90" s="119">
        <f>'Student Enrollment Data'!CK91</f>
        <v>826.5</v>
      </c>
      <c r="N90" s="5">
        <f t="shared" si="30"/>
        <v>7172.3673271272255</v>
      </c>
      <c r="O90" s="248">
        <f>F90*('Front page'!$H$11+1)</f>
        <v>5186370.8243999993</v>
      </c>
      <c r="P90" s="250">
        <f>H90*('Front page'!$H$10+1)</f>
        <v>6654.5966696035239</v>
      </c>
      <c r="Q90" s="250">
        <f t="shared" si="25"/>
        <v>5500024.1474273121</v>
      </c>
      <c r="R90" s="250">
        <f t="shared" si="26"/>
        <v>-427937.44844334014</v>
      </c>
      <c r="S90" s="7">
        <f t="shared" si="27"/>
        <v>5927961.5958706522</v>
      </c>
      <c r="T90" s="7">
        <f t="shared" si="28"/>
        <v>0</v>
      </c>
      <c r="U90" s="5">
        <f t="shared" si="29"/>
        <v>0</v>
      </c>
    </row>
    <row r="91" spans="1:21">
      <c r="A91" t="str">
        <f t="shared" si="19"/>
        <v>364</v>
      </c>
      <c r="B91">
        <f t="shared" si="20"/>
        <v>364</v>
      </c>
      <c r="C91" s="14" t="s">
        <v>99</v>
      </c>
      <c r="D91" s="128">
        <v>198239.08999999997</v>
      </c>
      <c r="E91" s="128">
        <v>32479</v>
      </c>
      <c r="F91" s="128">
        <f t="shared" si="21"/>
        <v>230718.08999999997</v>
      </c>
      <c r="G91" s="206">
        <v>9.5</v>
      </c>
      <c r="H91" s="207">
        <f t="shared" si="13"/>
        <v>24286.114736842101</v>
      </c>
      <c r="I91" s="182">
        <f t="shared" si="22"/>
        <v>1.3201392963696726E-4</v>
      </c>
      <c r="J91" s="5">
        <f>Calculations!AS91</f>
        <v>182246.76448286069</v>
      </c>
      <c r="K91" s="5">
        <f t="shared" si="23"/>
        <v>35465.346613000002</v>
      </c>
      <c r="L91" s="5">
        <f t="shared" si="24"/>
        <v>217712.11109586069</v>
      </c>
      <c r="M91" s="119">
        <f>'Student Enrollment Data'!CK92</f>
        <v>6</v>
      </c>
      <c r="N91" s="5">
        <f t="shared" si="30"/>
        <v>36285.351849310115</v>
      </c>
      <c r="O91" s="248">
        <f>F91*('Front page'!$H$11+1)</f>
        <v>237639.63269999996</v>
      </c>
      <c r="P91" s="250">
        <f>H91*('Front page'!$H$10+1)</f>
        <v>25500.420473684208</v>
      </c>
      <c r="Q91" s="250">
        <f t="shared" si="25"/>
        <v>153002.52284210525</v>
      </c>
      <c r="R91" s="250">
        <f t="shared" si="26"/>
        <v>-64709.588253755443</v>
      </c>
      <c r="S91" s="7">
        <f t="shared" si="27"/>
        <v>237639.63269999996</v>
      </c>
      <c r="T91" s="7">
        <f t="shared" si="28"/>
        <v>19927.52160413927</v>
      </c>
      <c r="U91" s="5">
        <f t="shared" si="29"/>
        <v>13005.97890413928</v>
      </c>
    </row>
    <row r="92" spans="1:21">
      <c r="A92" t="str">
        <f t="shared" si="19"/>
        <v>365</v>
      </c>
      <c r="B92">
        <f t="shared" si="20"/>
        <v>365</v>
      </c>
      <c r="C92" s="14" t="s">
        <v>100</v>
      </c>
      <c r="D92" s="128">
        <v>2154741.58</v>
      </c>
      <c r="E92" s="128">
        <v>1101757.1599999999</v>
      </c>
      <c r="F92" s="128">
        <f t="shared" si="21"/>
        <v>3256498.74</v>
      </c>
      <c r="G92" s="206">
        <v>293.5</v>
      </c>
      <c r="H92" s="207">
        <f t="shared" si="13"/>
        <v>11095.396047700171</v>
      </c>
      <c r="I92" s="182">
        <f t="shared" si="22"/>
        <v>1.8633267791235298E-3</v>
      </c>
      <c r="J92" s="5">
        <f>Calculations!AS92</f>
        <v>2676551.7461207421</v>
      </c>
      <c r="K92" s="5">
        <f t="shared" si="23"/>
        <v>1203060.4255905198</v>
      </c>
      <c r="L92" s="5">
        <f t="shared" si="24"/>
        <v>3879612.1717112618</v>
      </c>
      <c r="M92" s="119">
        <f>'Student Enrollment Data'!CK93</f>
        <v>290.5</v>
      </c>
      <c r="N92" s="5">
        <f t="shared" si="30"/>
        <v>13354.947234806408</v>
      </c>
      <c r="O92" s="248">
        <f>F92*('Front page'!$H$11+1)</f>
        <v>3354193.7022000002</v>
      </c>
      <c r="P92" s="250">
        <f>H92*('Front page'!$H$10+1)</f>
        <v>11650.165850085181</v>
      </c>
      <c r="Q92" s="250">
        <f t="shared" si="25"/>
        <v>3384373.179449745</v>
      </c>
      <c r="R92" s="250">
        <f t="shared" si="26"/>
        <v>-495238.99226151686</v>
      </c>
      <c r="S92" s="7">
        <f t="shared" si="27"/>
        <v>3879612.1717112618</v>
      </c>
      <c r="T92" s="7">
        <f t="shared" si="28"/>
        <v>0</v>
      </c>
      <c r="U92" s="5">
        <f t="shared" si="29"/>
        <v>0</v>
      </c>
    </row>
    <row r="93" spans="1:21">
      <c r="A93" t="str">
        <f t="shared" si="19"/>
        <v>370</v>
      </c>
      <c r="B93">
        <f t="shared" si="20"/>
        <v>370</v>
      </c>
      <c r="C93" s="14" t="s">
        <v>101</v>
      </c>
      <c r="D93" s="128">
        <v>6334098.5900000008</v>
      </c>
      <c r="E93" s="128">
        <v>643081.38</v>
      </c>
      <c r="F93" s="128">
        <f t="shared" si="21"/>
        <v>6977179.9700000007</v>
      </c>
      <c r="G93" s="206">
        <v>1162.5</v>
      </c>
      <c r="H93" s="207">
        <f t="shared" si="13"/>
        <v>6001.8752430107534</v>
      </c>
      <c r="I93" s="182">
        <f t="shared" si="22"/>
        <v>3.9922528208517919E-3</v>
      </c>
      <c r="J93" s="5">
        <f>Calculations!AS93</f>
        <v>7118568.3950771699</v>
      </c>
      <c r="K93" s="5">
        <f t="shared" si="23"/>
        <v>702210.78364686004</v>
      </c>
      <c r="L93" s="5">
        <f t="shared" si="24"/>
        <v>7820779.17872403</v>
      </c>
      <c r="M93" s="119">
        <f>'Student Enrollment Data'!CK94</f>
        <v>1168</v>
      </c>
      <c r="N93" s="5">
        <f t="shared" si="30"/>
        <v>6695.8725845239987</v>
      </c>
      <c r="O93" s="248">
        <f>F93*('Front page'!$H$11+1)</f>
        <v>7186495.3691000007</v>
      </c>
      <c r="P93" s="250">
        <f>H93*('Front page'!$H$10+1)</f>
        <v>6301.9690051612915</v>
      </c>
      <c r="Q93" s="250">
        <f t="shared" si="25"/>
        <v>7360699.7980283881</v>
      </c>
      <c r="R93" s="250">
        <f t="shared" si="26"/>
        <v>-460079.38069564197</v>
      </c>
      <c r="S93" s="7">
        <f t="shared" si="27"/>
        <v>7820779.17872403</v>
      </c>
      <c r="T93" s="7">
        <f t="shared" si="28"/>
        <v>0</v>
      </c>
      <c r="U93" s="5">
        <f t="shared" si="29"/>
        <v>0</v>
      </c>
    </row>
    <row r="94" spans="1:21">
      <c r="A94" t="str">
        <f t="shared" si="19"/>
        <v>371</v>
      </c>
      <c r="B94">
        <f t="shared" si="20"/>
        <v>371</v>
      </c>
      <c r="C94" s="14" t="s">
        <v>102</v>
      </c>
      <c r="D94" s="128">
        <v>7852329.1099999994</v>
      </c>
      <c r="E94" s="128">
        <v>743529.03</v>
      </c>
      <c r="F94" s="128">
        <f t="shared" si="21"/>
        <v>8595858.1399999987</v>
      </c>
      <c r="G94" s="206">
        <v>1437</v>
      </c>
      <c r="H94" s="207">
        <f t="shared" si="13"/>
        <v>5981.8080306193451</v>
      </c>
      <c r="I94" s="182">
        <f t="shared" si="22"/>
        <v>4.9184396926279699E-3</v>
      </c>
      <c r="J94" s="5">
        <f>Calculations!AS94</f>
        <v>8656981.0236762781</v>
      </c>
      <c r="K94" s="5">
        <f t="shared" si="23"/>
        <v>811894.29372140998</v>
      </c>
      <c r="L94" s="5">
        <f t="shared" si="24"/>
        <v>9468875.3173976876</v>
      </c>
      <c r="M94" s="119">
        <f>'Student Enrollment Data'!CK95</f>
        <v>1491.9192156862746</v>
      </c>
      <c r="N94" s="5">
        <f t="shared" si="30"/>
        <v>6346.7748238915583</v>
      </c>
      <c r="O94" s="248">
        <f>F94*('Front page'!$H$11+1)</f>
        <v>8853733.8841999993</v>
      </c>
      <c r="P94" s="250">
        <f>H94*('Front page'!$H$10+1)</f>
        <v>6280.8984321503131</v>
      </c>
      <c r="Q94" s="250">
        <f t="shared" si="25"/>
        <v>9370593.0626988467</v>
      </c>
      <c r="R94" s="250">
        <f t="shared" si="26"/>
        <v>-98282.254698840901</v>
      </c>
      <c r="S94" s="7">
        <f t="shared" si="27"/>
        <v>9468875.3173976876</v>
      </c>
      <c r="T94" s="7">
        <f t="shared" si="28"/>
        <v>0</v>
      </c>
      <c r="U94" s="5">
        <f t="shared" si="29"/>
        <v>0</v>
      </c>
    </row>
    <row r="95" spans="1:21">
      <c r="A95" t="str">
        <f t="shared" si="19"/>
        <v>372</v>
      </c>
      <c r="B95">
        <f t="shared" si="20"/>
        <v>372</v>
      </c>
      <c r="C95" s="14" t="s">
        <v>103</v>
      </c>
      <c r="D95" s="128">
        <v>5584711.8500000006</v>
      </c>
      <c r="E95" s="128">
        <v>582024.45000000007</v>
      </c>
      <c r="F95" s="128">
        <f t="shared" si="21"/>
        <v>6166736.3000000007</v>
      </c>
      <c r="G95" s="206">
        <v>964.5</v>
      </c>
      <c r="H95" s="207">
        <f t="shared" si="13"/>
        <v>6393.7131156039404</v>
      </c>
      <c r="I95" s="182">
        <f t="shared" si="22"/>
        <v>3.5285273556049813E-3</v>
      </c>
      <c r="J95" s="5">
        <f>Calculations!AS95</f>
        <v>5819926.102154308</v>
      </c>
      <c r="K95" s="5">
        <f t="shared" si="23"/>
        <v>635539.85210415011</v>
      </c>
      <c r="L95" s="5">
        <f t="shared" si="24"/>
        <v>6455465.9542584578</v>
      </c>
      <c r="M95" s="119">
        <f>'Student Enrollment Data'!CK96</f>
        <v>954.84901960784316</v>
      </c>
      <c r="N95" s="5">
        <f t="shared" si="30"/>
        <v>6760.7190474047093</v>
      </c>
      <c r="O95" s="248">
        <f>F95*('Front page'!$H$11+1)</f>
        <v>6351738.3890000014</v>
      </c>
      <c r="P95" s="250">
        <f>H95*('Front page'!$H$10+1)</f>
        <v>6713.3987713841379</v>
      </c>
      <c r="Q95" s="250">
        <f t="shared" si="25"/>
        <v>6410282.2350926427</v>
      </c>
      <c r="R95" s="250">
        <f t="shared" si="26"/>
        <v>-45183.71916581504</v>
      </c>
      <c r="S95" s="7">
        <f t="shared" si="27"/>
        <v>6455465.9542584578</v>
      </c>
      <c r="T95" s="7">
        <f t="shared" si="28"/>
        <v>0</v>
      </c>
      <c r="U95" s="5">
        <f t="shared" si="29"/>
        <v>0</v>
      </c>
    </row>
    <row r="96" spans="1:21">
      <c r="A96" t="str">
        <f t="shared" si="19"/>
        <v>373</v>
      </c>
      <c r="B96">
        <f t="shared" si="20"/>
        <v>373</v>
      </c>
      <c r="C96" s="14" t="s">
        <v>104</v>
      </c>
      <c r="D96" s="128">
        <v>9575970.1300000008</v>
      </c>
      <c r="E96" s="128">
        <v>1011841.79</v>
      </c>
      <c r="F96" s="128">
        <f t="shared" si="21"/>
        <v>10587811.920000002</v>
      </c>
      <c r="G96" s="206">
        <v>1726.5</v>
      </c>
      <c r="H96" s="207">
        <f t="shared" si="13"/>
        <v>6132.5293483927035</v>
      </c>
      <c r="I96" s="182">
        <f t="shared" si="22"/>
        <v>6.0582100771392642E-3</v>
      </c>
      <c r="J96" s="5">
        <f>Calculations!AS96</f>
        <v>9492951.0305836461</v>
      </c>
      <c r="K96" s="5">
        <f t="shared" si="23"/>
        <v>1104877.60706513</v>
      </c>
      <c r="L96" s="5">
        <f t="shared" si="24"/>
        <v>10597828.637648776</v>
      </c>
      <c r="M96" s="119">
        <f>'Student Enrollment Data'!CK97</f>
        <v>1696.8627450980391</v>
      </c>
      <c r="N96" s="5">
        <f t="shared" si="30"/>
        <v>6245.5426452517631</v>
      </c>
      <c r="O96" s="248">
        <f>F96*('Front page'!$H$11+1)</f>
        <v>10905446.277600002</v>
      </c>
      <c r="P96" s="250">
        <f>H96*('Front page'!$H$10+1)</f>
        <v>6439.1558158123389</v>
      </c>
      <c r="Q96" s="250">
        <f t="shared" si="25"/>
        <v>10926363.613733329</v>
      </c>
      <c r="R96" s="250">
        <f t="shared" si="26"/>
        <v>0</v>
      </c>
      <c r="S96" s="7">
        <f t="shared" si="27"/>
        <v>10905446.277600002</v>
      </c>
      <c r="T96" s="7">
        <f t="shared" si="28"/>
        <v>307617.63995122537</v>
      </c>
      <c r="U96" s="5">
        <f t="shared" si="29"/>
        <v>0</v>
      </c>
    </row>
    <row r="97" spans="1:21">
      <c r="A97" t="str">
        <f t="shared" si="19"/>
        <v>381</v>
      </c>
      <c r="B97">
        <f t="shared" si="20"/>
        <v>381</v>
      </c>
      <c r="C97" s="14" t="s">
        <v>105</v>
      </c>
      <c r="D97" s="128">
        <v>7780293.8399999999</v>
      </c>
      <c r="E97" s="128">
        <v>849481.30999999994</v>
      </c>
      <c r="F97" s="128">
        <f t="shared" si="21"/>
        <v>8629775.1500000004</v>
      </c>
      <c r="G97" s="206">
        <v>1388.5</v>
      </c>
      <c r="H97" s="207">
        <f t="shared" si="13"/>
        <v>6215.1783579402236</v>
      </c>
      <c r="I97" s="182">
        <f t="shared" si="22"/>
        <v>4.9378465703965773E-3</v>
      </c>
      <c r="J97" s="5">
        <f>Calculations!AS97</f>
        <v>8444721.7082321364</v>
      </c>
      <c r="K97" s="5">
        <f t="shared" si="23"/>
        <v>927588.5680105699</v>
      </c>
      <c r="L97" s="5">
        <f t="shared" si="24"/>
        <v>9372310.2762427069</v>
      </c>
      <c r="M97" s="119">
        <f>'Student Enrollment Data'!CK98</f>
        <v>1407.1156862745097</v>
      </c>
      <c r="N97" s="5">
        <f t="shared" si="30"/>
        <v>6660.6536816151256</v>
      </c>
      <c r="O97" s="248">
        <f>F97*('Front page'!$H$11+1)</f>
        <v>8888668.4045000002</v>
      </c>
      <c r="P97" s="250">
        <f>H97*('Front page'!$H$10+1)</f>
        <v>6525.9372758372347</v>
      </c>
      <c r="Q97" s="250">
        <f t="shared" si="25"/>
        <v>9182748.7084741145</v>
      </c>
      <c r="R97" s="250">
        <f t="shared" si="26"/>
        <v>-189561.56776859239</v>
      </c>
      <c r="S97" s="7">
        <f t="shared" si="27"/>
        <v>9372310.2762427069</v>
      </c>
      <c r="T97" s="7">
        <f t="shared" si="28"/>
        <v>0</v>
      </c>
      <c r="U97" s="5">
        <f t="shared" si="29"/>
        <v>0</v>
      </c>
    </row>
    <row r="98" spans="1:21">
      <c r="A98" t="str">
        <f t="shared" si="19"/>
        <v>382</v>
      </c>
      <c r="B98">
        <f t="shared" si="20"/>
        <v>382</v>
      </c>
      <c r="C98" s="14" t="s">
        <v>106</v>
      </c>
      <c r="D98" s="128">
        <v>1459109.81</v>
      </c>
      <c r="E98" s="128">
        <v>198660.96</v>
      </c>
      <c r="F98" s="128">
        <f t="shared" si="21"/>
        <v>1657770.77</v>
      </c>
      <c r="G98" s="206">
        <v>171</v>
      </c>
      <c r="H98" s="207">
        <f t="shared" si="13"/>
        <v>9694.5659064327483</v>
      </c>
      <c r="I98" s="182">
        <f t="shared" si="22"/>
        <v>9.4855515570972822E-4</v>
      </c>
      <c r="J98" s="5">
        <f>Calculations!AS98</f>
        <v>1663908.3644635079</v>
      </c>
      <c r="K98" s="5">
        <f t="shared" si="23"/>
        <v>216927.23928911999</v>
      </c>
      <c r="L98" s="5">
        <f t="shared" si="24"/>
        <v>1880835.603752628</v>
      </c>
      <c r="M98" s="119">
        <f>'Student Enrollment Data'!CK99</f>
        <v>175</v>
      </c>
      <c r="N98" s="5">
        <f t="shared" si="30"/>
        <v>10747.632021443589</v>
      </c>
      <c r="O98" s="248">
        <f>F98*('Front page'!$H$11+1)</f>
        <v>1707503.8931</v>
      </c>
      <c r="P98" s="250">
        <f>H98*('Front page'!$H$10+1)</f>
        <v>10179.294201754386</v>
      </c>
      <c r="Q98" s="250">
        <f t="shared" si="25"/>
        <v>1781376.4853070176</v>
      </c>
      <c r="R98" s="250">
        <f t="shared" si="26"/>
        <v>-99459.118445610395</v>
      </c>
      <c r="S98" s="7">
        <f t="shared" si="27"/>
        <v>1880835.603752628</v>
      </c>
      <c r="T98" s="7">
        <f t="shared" si="28"/>
        <v>0</v>
      </c>
      <c r="U98" s="5">
        <f t="shared" si="29"/>
        <v>0</v>
      </c>
    </row>
    <row r="99" spans="1:21">
      <c r="A99" t="str">
        <f t="shared" si="19"/>
        <v>383</v>
      </c>
      <c r="B99">
        <f t="shared" si="20"/>
        <v>383</v>
      </c>
      <c r="C99" s="14" t="s">
        <v>107</v>
      </c>
      <c r="D99" s="128">
        <v>238026.83</v>
      </c>
      <c r="E99" s="128">
        <v>63323</v>
      </c>
      <c r="F99" s="128">
        <f t="shared" si="21"/>
        <v>301349.82999999996</v>
      </c>
      <c r="G99" s="206">
        <v>16.5</v>
      </c>
      <c r="H99" s="207">
        <f t="shared" ref="H99:H160" si="31">SUM(F99/G99)</f>
        <v>18263.626060606057</v>
      </c>
      <c r="I99" s="182">
        <f t="shared" si="22"/>
        <v>1.7242850464708705E-4</v>
      </c>
      <c r="J99" s="5">
        <f>Calculations!AS99</f>
        <v>236437.02829359152</v>
      </c>
      <c r="K99" s="5">
        <f t="shared" si="23"/>
        <v>69145.359880999997</v>
      </c>
      <c r="L99" s="5">
        <f t="shared" si="24"/>
        <v>305582.38817459153</v>
      </c>
      <c r="M99" s="119">
        <f>'Student Enrollment Data'!CK100</f>
        <v>15.5</v>
      </c>
      <c r="N99" s="5">
        <f t="shared" si="30"/>
        <v>19714.992785457518</v>
      </c>
      <c r="O99" s="248">
        <f>F99*('Front page'!$H$11+1)</f>
        <v>310390.32489999995</v>
      </c>
      <c r="P99" s="250">
        <f>H99*('Front page'!$H$10+1)</f>
        <v>19176.807363636359</v>
      </c>
      <c r="Q99" s="250">
        <f t="shared" ref="Q99:Q130" si="32">P99*M99</f>
        <v>297240.51413636358</v>
      </c>
      <c r="R99" s="250">
        <f t="shared" ref="R99:R130" si="33">IF(H99=0,0,IF(Q99&lt;L99,Q99-L99,0))</f>
        <v>-8341.8740382279502</v>
      </c>
      <c r="S99" s="7">
        <f t="shared" ref="S99:S130" si="34">MAX(O99,F99,L99)</f>
        <v>310390.32489999995</v>
      </c>
      <c r="T99" s="7">
        <f t="shared" ref="T99:T130" si="35">S99-L99</f>
        <v>4807.9367254084209</v>
      </c>
      <c r="U99" s="5">
        <f t="shared" ref="U99:U130" si="36">MAX(L99,F99)-L99</f>
        <v>0</v>
      </c>
    </row>
    <row r="100" spans="1:21">
      <c r="A100" t="str">
        <f t="shared" si="19"/>
        <v>391</v>
      </c>
      <c r="B100">
        <f t="shared" si="20"/>
        <v>391</v>
      </c>
      <c r="C100" s="14" t="s">
        <v>108</v>
      </c>
      <c r="D100" s="128">
        <v>5821850.2699999996</v>
      </c>
      <c r="E100" s="128">
        <v>1026305.39</v>
      </c>
      <c r="F100" s="128">
        <f t="shared" si="21"/>
        <v>6848155.6599999992</v>
      </c>
      <c r="G100" s="206">
        <v>1054</v>
      </c>
      <c r="H100" s="207">
        <f t="shared" si="31"/>
        <v>6497.30138519924</v>
      </c>
      <c r="I100" s="182">
        <f t="shared" si="22"/>
        <v>3.918426766805495E-3</v>
      </c>
      <c r="J100" s="5">
        <f>Calculations!AS100</f>
        <v>6600594.3820770793</v>
      </c>
      <c r="K100" s="5">
        <f t="shared" si="23"/>
        <v>1120671.0916943301</v>
      </c>
      <c r="L100" s="5">
        <f t="shared" si="24"/>
        <v>7721265.4737714091</v>
      </c>
      <c r="M100" s="119">
        <f>'Student Enrollment Data'!CK101</f>
        <v>1049.2313725490196</v>
      </c>
      <c r="N100" s="5">
        <f t="shared" si="30"/>
        <v>7358.973126216425</v>
      </c>
      <c r="O100" s="248">
        <f>F100*('Front page'!$H$11+1)</f>
        <v>7053600.3297999995</v>
      </c>
      <c r="P100" s="250">
        <f>H100*('Front page'!$H$10+1)</f>
        <v>6822.1664544592022</v>
      </c>
      <c r="Q100" s="250">
        <f t="shared" si="32"/>
        <v>7158031.0727701075</v>
      </c>
      <c r="R100" s="250">
        <f t="shared" si="33"/>
        <v>-563234.40100130159</v>
      </c>
      <c r="S100" s="7">
        <f t="shared" si="34"/>
        <v>7721265.4737714091</v>
      </c>
      <c r="T100" s="7">
        <f t="shared" si="35"/>
        <v>0</v>
      </c>
      <c r="U100" s="5">
        <f t="shared" si="36"/>
        <v>0</v>
      </c>
    </row>
    <row r="101" spans="1:21">
      <c r="A101" t="str">
        <f t="shared" si="19"/>
        <v>392</v>
      </c>
      <c r="B101">
        <f t="shared" si="20"/>
        <v>392</v>
      </c>
      <c r="C101" s="14" t="s">
        <v>109</v>
      </c>
      <c r="D101" s="128">
        <v>1410154.0899999999</v>
      </c>
      <c r="E101" s="128">
        <v>139263.56</v>
      </c>
      <c r="F101" s="128">
        <f t="shared" si="21"/>
        <v>1549417.65</v>
      </c>
      <c r="G101" s="206">
        <v>154</v>
      </c>
      <c r="H101" s="207">
        <f t="shared" si="31"/>
        <v>10061.153571428571</v>
      </c>
      <c r="I101" s="182">
        <f t="shared" si="22"/>
        <v>8.8655689124929565E-4</v>
      </c>
      <c r="J101" s="5">
        <f>Calculations!AS101</f>
        <v>1387051.2270992098</v>
      </c>
      <c r="K101" s="5">
        <f t="shared" si="23"/>
        <v>152068.42655132001</v>
      </c>
      <c r="L101" s="5">
        <f t="shared" si="24"/>
        <v>1539119.6536505297</v>
      </c>
      <c r="M101" s="119">
        <f>'Student Enrollment Data'!CK102</f>
        <v>93</v>
      </c>
      <c r="N101" s="5">
        <f t="shared" si="30"/>
        <v>16549.673695166985</v>
      </c>
      <c r="O101" s="248">
        <f>F101*('Front page'!$H$11+1)</f>
        <v>1595900.1794999999</v>
      </c>
      <c r="P101" s="250">
        <f>H101*('Front page'!$H$10+1)</f>
        <v>10564.21125</v>
      </c>
      <c r="Q101" s="250">
        <f t="shared" si="32"/>
        <v>982471.64624999999</v>
      </c>
      <c r="R101" s="250">
        <f t="shared" si="33"/>
        <v>-556648.00740052969</v>
      </c>
      <c r="S101" s="7">
        <f t="shared" si="34"/>
        <v>1595900.1794999999</v>
      </c>
      <c r="T101" s="7">
        <f t="shared" si="35"/>
        <v>56780.52584947017</v>
      </c>
      <c r="U101" s="5">
        <f t="shared" si="36"/>
        <v>10297.996349470224</v>
      </c>
    </row>
    <row r="102" spans="1:21">
      <c r="A102" t="str">
        <f t="shared" si="19"/>
        <v>393</v>
      </c>
      <c r="B102">
        <f t="shared" si="20"/>
        <v>393</v>
      </c>
      <c r="C102" s="14" t="s">
        <v>110</v>
      </c>
      <c r="D102" s="128">
        <v>3015114.1100000003</v>
      </c>
      <c r="E102" s="128">
        <v>388502.96</v>
      </c>
      <c r="F102" s="128">
        <f t="shared" si="21"/>
        <v>3403617.0700000003</v>
      </c>
      <c r="G102" s="206">
        <v>461.5</v>
      </c>
      <c r="H102" s="207">
        <f t="shared" si="31"/>
        <v>7375.1182448537384</v>
      </c>
      <c r="I102" s="182">
        <f t="shared" si="22"/>
        <v>1.9475059991618377E-3</v>
      </c>
      <c r="J102" s="5">
        <f>Calculations!AS102</f>
        <v>3457394.1315891957</v>
      </c>
      <c r="K102" s="5">
        <f t="shared" si="23"/>
        <v>424224.64166312001</v>
      </c>
      <c r="L102" s="5">
        <f t="shared" si="24"/>
        <v>3881618.7732523158</v>
      </c>
      <c r="M102" s="119">
        <f>'Student Enrollment Data'!CK103</f>
        <v>459.5</v>
      </c>
      <c r="N102" s="5">
        <f t="shared" si="30"/>
        <v>8447.4837285142894</v>
      </c>
      <c r="O102" s="248">
        <f>F102*('Front page'!$H$11+1)</f>
        <v>3505725.5821000002</v>
      </c>
      <c r="P102" s="250">
        <f>H102*('Front page'!$H$10+1)</f>
        <v>7743.8741570964257</v>
      </c>
      <c r="Q102" s="250">
        <f t="shared" si="32"/>
        <v>3558310.1751858075</v>
      </c>
      <c r="R102" s="250">
        <f t="shared" si="33"/>
        <v>-323308.5980665083</v>
      </c>
      <c r="S102" s="7">
        <f t="shared" si="34"/>
        <v>3881618.7732523158</v>
      </c>
      <c r="T102" s="7">
        <f t="shared" si="35"/>
        <v>0</v>
      </c>
      <c r="U102" s="5">
        <f t="shared" si="36"/>
        <v>0</v>
      </c>
    </row>
    <row r="103" spans="1:21">
      <c r="A103" t="str">
        <f t="shared" si="19"/>
        <v>394</v>
      </c>
      <c r="B103">
        <f t="shared" si="20"/>
        <v>394</v>
      </c>
      <c r="C103" s="14" t="s">
        <v>111</v>
      </c>
      <c r="D103" s="128">
        <v>188296.4</v>
      </c>
      <c r="E103" s="128">
        <v>64354</v>
      </c>
      <c r="F103" s="128">
        <f t="shared" si="21"/>
        <v>252650.4</v>
      </c>
      <c r="G103" s="206">
        <v>15.5</v>
      </c>
      <c r="H103" s="207">
        <f t="shared" si="31"/>
        <v>16300.025806451613</v>
      </c>
      <c r="I103" s="182">
        <f t="shared" si="22"/>
        <v>1.4456331589929354E-4</v>
      </c>
      <c r="J103" s="5">
        <f>Calculations!AS103</f>
        <v>243875.49595628818</v>
      </c>
      <c r="K103" s="5">
        <f t="shared" si="23"/>
        <v>70271.157238</v>
      </c>
      <c r="L103" s="5">
        <f t="shared" si="24"/>
        <v>314146.6531942882</v>
      </c>
      <c r="M103" s="119">
        <f>'Student Enrollment Data'!CK104</f>
        <v>17</v>
      </c>
      <c r="N103" s="5">
        <f t="shared" si="30"/>
        <v>18479.21489378166</v>
      </c>
      <c r="O103" s="248">
        <f>F103*('Front page'!$H$11+1)</f>
        <v>260229.91200000001</v>
      </c>
      <c r="P103" s="250">
        <f>H103*('Front page'!$H$10+1)</f>
        <v>17115.027096774193</v>
      </c>
      <c r="Q103" s="250">
        <f t="shared" si="32"/>
        <v>290955.46064516128</v>
      </c>
      <c r="R103" s="250">
        <f t="shared" si="33"/>
        <v>-23191.192549126921</v>
      </c>
      <c r="S103" s="7">
        <f t="shared" si="34"/>
        <v>314146.6531942882</v>
      </c>
      <c r="T103" s="7">
        <f t="shared" si="35"/>
        <v>0</v>
      </c>
      <c r="U103" s="5">
        <f t="shared" si="36"/>
        <v>0</v>
      </c>
    </row>
    <row r="104" spans="1:21">
      <c r="A104" t="str">
        <f t="shared" si="19"/>
        <v>401</v>
      </c>
      <c r="B104">
        <f t="shared" si="20"/>
        <v>401</v>
      </c>
      <c r="C104" s="14" t="s">
        <v>112</v>
      </c>
      <c r="D104" s="128">
        <v>9209281.629999999</v>
      </c>
      <c r="E104" s="128">
        <v>1001859.3300000001</v>
      </c>
      <c r="F104" s="128">
        <f t="shared" si="21"/>
        <v>10211140.959999999</v>
      </c>
      <c r="G104" s="206">
        <v>1718.5</v>
      </c>
      <c r="H104" s="207">
        <f t="shared" si="31"/>
        <v>5941.8917427989518</v>
      </c>
      <c r="I104" s="182">
        <f t="shared" si="22"/>
        <v>5.842683788716327E-3</v>
      </c>
      <c r="J104" s="5">
        <f>Calculations!AS104</f>
        <v>9852447.9570235927</v>
      </c>
      <c r="K104" s="5">
        <f t="shared" si="23"/>
        <v>1093977.2898155102</v>
      </c>
      <c r="L104" s="5">
        <f t="shared" si="24"/>
        <v>10946425.246839102</v>
      </c>
      <c r="M104" s="119">
        <f>'Student Enrollment Data'!CK105</f>
        <v>1747</v>
      </c>
      <c r="N104" s="5">
        <f t="shared" si="30"/>
        <v>6265.8415837659431</v>
      </c>
      <c r="O104" s="248">
        <f>F104*('Front page'!$H$11+1)</f>
        <v>10517475.1888</v>
      </c>
      <c r="P104" s="250">
        <f>H104*('Front page'!$H$10+1)</f>
        <v>6238.9863299388999</v>
      </c>
      <c r="Q104" s="250">
        <f t="shared" si="32"/>
        <v>10899509.118403258</v>
      </c>
      <c r="R104" s="250">
        <f t="shared" si="33"/>
        <v>-46916.128435844555</v>
      </c>
      <c r="S104" s="7">
        <f t="shared" si="34"/>
        <v>10946425.246839102</v>
      </c>
      <c r="T104" s="7">
        <f t="shared" si="35"/>
        <v>0</v>
      </c>
      <c r="U104" s="5">
        <f t="shared" si="36"/>
        <v>0</v>
      </c>
    </row>
    <row r="105" spans="1:21">
      <c r="A105" t="str">
        <f t="shared" si="19"/>
        <v>411</v>
      </c>
      <c r="B105">
        <f t="shared" si="20"/>
        <v>411</v>
      </c>
      <c r="C105" s="14" t="s">
        <v>113</v>
      </c>
      <c r="D105" s="128">
        <v>46491686.109999999</v>
      </c>
      <c r="E105" s="128">
        <v>4906492.58</v>
      </c>
      <c r="F105" s="128">
        <f t="shared" si="21"/>
        <v>51398178.689999998</v>
      </c>
      <c r="G105" s="206">
        <v>9020</v>
      </c>
      <c r="H105" s="207">
        <f t="shared" si="31"/>
        <v>5698.2459745011083</v>
      </c>
      <c r="I105" s="182">
        <f t="shared" si="22"/>
        <v>2.940937810749877E-2</v>
      </c>
      <c r="J105" s="5">
        <f>Calculations!AS105</f>
        <v>51281398.952583291</v>
      </c>
      <c r="K105" s="5">
        <f t="shared" si="23"/>
        <v>5357629.8532532603</v>
      </c>
      <c r="L105" s="5">
        <f t="shared" si="24"/>
        <v>56639028.805836551</v>
      </c>
      <c r="M105" s="119">
        <f>'Student Enrollment Data'!CK106</f>
        <v>9064.9163600140055</v>
      </c>
      <c r="N105" s="5">
        <f t="shared" si="30"/>
        <v>6248.157904211379</v>
      </c>
      <c r="O105" s="248">
        <f>F105*('Front page'!$H$11+1)</f>
        <v>52940124.050700001</v>
      </c>
      <c r="P105" s="250">
        <f>H105*('Front page'!$H$10+1)</f>
        <v>5983.1582732261641</v>
      </c>
      <c r="Q105" s="250">
        <f t="shared" si="32"/>
        <v>54236829.315521002</v>
      </c>
      <c r="R105" s="250">
        <f t="shared" si="33"/>
        <v>-2402199.4903155491</v>
      </c>
      <c r="S105" s="7">
        <f t="shared" si="34"/>
        <v>56639028.805836551</v>
      </c>
      <c r="T105" s="7">
        <f t="shared" si="35"/>
        <v>0</v>
      </c>
      <c r="U105" s="5">
        <f t="shared" si="36"/>
        <v>0</v>
      </c>
    </row>
    <row r="106" spans="1:21">
      <c r="A106" t="str">
        <f t="shared" si="19"/>
        <v>412</v>
      </c>
      <c r="B106">
        <f t="shared" si="20"/>
        <v>412</v>
      </c>
      <c r="C106" s="14" t="s">
        <v>114</v>
      </c>
      <c r="D106" s="128">
        <v>6782677.6000000006</v>
      </c>
      <c r="E106" s="128">
        <v>627459.07000000007</v>
      </c>
      <c r="F106" s="128">
        <f t="shared" si="21"/>
        <v>7410136.6700000009</v>
      </c>
      <c r="G106" s="206">
        <v>1255</v>
      </c>
      <c r="H106" s="207">
        <f t="shared" si="31"/>
        <v>5904.4913705179288</v>
      </c>
      <c r="I106" s="182">
        <f t="shared" si="22"/>
        <v>4.2399850872278421E-3</v>
      </c>
      <c r="J106" s="5">
        <f>Calculations!AS106</f>
        <v>7542776.7746549938</v>
      </c>
      <c r="K106" s="5">
        <f t="shared" si="23"/>
        <v>685152.04910929012</v>
      </c>
      <c r="L106" s="5">
        <f t="shared" si="24"/>
        <v>8227928.8237642841</v>
      </c>
      <c r="M106" s="119">
        <f>'Student Enrollment Data'!CK107</f>
        <v>1212.9475490196078</v>
      </c>
      <c r="N106" s="5">
        <f t="shared" si="30"/>
        <v>6783.4168348125959</v>
      </c>
      <c r="O106" s="248">
        <f>F106*('Front page'!$H$11+1)</f>
        <v>7632440.7701000012</v>
      </c>
      <c r="P106" s="250">
        <f>H106*('Front page'!$H$10+1)</f>
        <v>6199.7159390438255</v>
      </c>
      <c r="Q106" s="250">
        <f t="shared" si="32"/>
        <v>7519930.2528810045</v>
      </c>
      <c r="R106" s="250">
        <f t="shared" si="33"/>
        <v>-707998.57088327967</v>
      </c>
      <c r="S106" s="7">
        <f t="shared" si="34"/>
        <v>8227928.8237642841</v>
      </c>
      <c r="T106" s="7">
        <f t="shared" si="35"/>
        <v>0</v>
      </c>
      <c r="U106" s="5">
        <f t="shared" si="36"/>
        <v>0</v>
      </c>
    </row>
    <row r="107" spans="1:21">
      <c r="A107" t="str">
        <f t="shared" si="19"/>
        <v>413</v>
      </c>
      <c r="B107">
        <f t="shared" si="20"/>
        <v>413</v>
      </c>
      <c r="C107" s="14" t="s">
        <v>115</v>
      </c>
      <c r="D107" s="128">
        <v>8632145.4200000018</v>
      </c>
      <c r="E107" s="128">
        <v>1080699.9899999998</v>
      </c>
      <c r="F107" s="128">
        <f t="shared" si="21"/>
        <v>9712845.410000002</v>
      </c>
      <c r="G107" s="206">
        <v>1590</v>
      </c>
      <c r="H107" s="207">
        <f t="shared" si="31"/>
        <v>6108.7078050314476</v>
      </c>
      <c r="I107" s="182">
        <f t="shared" si="22"/>
        <v>5.5575654710494568E-3</v>
      </c>
      <c r="J107" s="5">
        <f>Calculations!AS107</f>
        <v>9081224.5393675789</v>
      </c>
      <c r="K107" s="5">
        <f t="shared" si="23"/>
        <v>1180067.1119805297</v>
      </c>
      <c r="L107" s="5">
        <f t="shared" si="24"/>
        <v>10261291.651348108</v>
      </c>
      <c r="M107" s="119">
        <f>'Student Enrollment Data'!CK108</f>
        <v>1595.5</v>
      </c>
      <c r="N107" s="5">
        <f t="shared" si="30"/>
        <v>6431.3955821674135</v>
      </c>
      <c r="O107" s="248">
        <f>F107*('Front page'!$H$11+1)</f>
        <v>10004230.772300003</v>
      </c>
      <c r="P107" s="250">
        <f>H107*('Front page'!$H$10+1)</f>
        <v>6414.1431952830198</v>
      </c>
      <c r="Q107" s="250">
        <f t="shared" si="32"/>
        <v>10233765.468074057</v>
      </c>
      <c r="R107" s="250">
        <f t="shared" si="33"/>
        <v>-27526.183274051175</v>
      </c>
      <c r="S107" s="7">
        <f t="shared" si="34"/>
        <v>10261291.651348108</v>
      </c>
      <c r="T107" s="7">
        <f t="shared" si="35"/>
        <v>0</v>
      </c>
      <c r="U107" s="5">
        <f t="shared" si="36"/>
        <v>0</v>
      </c>
    </row>
    <row r="108" spans="1:21">
      <c r="A108" t="str">
        <f t="shared" si="19"/>
        <v>414</v>
      </c>
      <c r="B108">
        <f t="shared" si="20"/>
        <v>414</v>
      </c>
      <c r="C108" s="14" t="s">
        <v>116</v>
      </c>
      <c r="D108" s="128">
        <v>10159890.649999999</v>
      </c>
      <c r="E108" s="128">
        <v>1375762.3299999998</v>
      </c>
      <c r="F108" s="128">
        <f t="shared" si="21"/>
        <v>11535652.979999999</v>
      </c>
      <c r="G108" s="206">
        <v>1839</v>
      </c>
      <c r="H108" s="207">
        <f t="shared" si="31"/>
        <v>6272.7857422512225</v>
      </c>
      <c r="I108" s="182">
        <f t="shared" si="22"/>
        <v>6.6005525653328343E-3</v>
      </c>
      <c r="J108" s="5">
        <f>Calculations!AS108</f>
        <v>10366074.033487631</v>
      </c>
      <c r="K108" s="5">
        <f t="shared" si="23"/>
        <v>1502259.5489565099</v>
      </c>
      <c r="L108" s="5">
        <f t="shared" si="24"/>
        <v>11868333.582444141</v>
      </c>
      <c r="M108" s="119">
        <f>'Student Enrollment Data'!CK109</f>
        <v>1900.9764705882353</v>
      </c>
      <c r="N108" s="5">
        <f t="shared" si="30"/>
        <v>6243.2827370933328</v>
      </c>
      <c r="O108" s="248">
        <f>F108*('Front page'!$H$11+1)</f>
        <v>11881722.569399999</v>
      </c>
      <c r="P108" s="250">
        <f>H108*('Front page'!$H$10+1)</f>
        <v>6586.4250293637842</v>
      </c>
      <c r="Q108" s="250">
        <f t="shared" si="32"/>
        <v>12520639.00611398</v>
      </c>
      <c r="R108" s="250">
        <f t="shared" si="33"/>
        <v>0</v>
      </c>
      <c r="S108" s="7">
        <f t="shared" si="34"/>
        <v>11881722.569399999</v>
      </c>
      <c r="T108" s="7">
        <f t="shared" si="35"/>
        <v>13388.986955858767</v>
      </c>
      <c r="U108" s="5">
        <f t="shared" si="36"/>
        <v>0</v>
      </c>
    </row>
    <row r="109" spans="1:21">
      <c r="A109" t="str">
        <f t="shared" si="19"/>
        <v>415</v>
      </c>
      <c r="B109">
        <f t="shared" si="20"/>
        <v>415</v>
      </c>
      <c r="C109" s="14" t="s">
        <v>117</v>
      </c>
      <c r="D109" s="128">
        <v>2200688.1399999997</v>
      </c>
      <c r="E109" s="128">
        <v>271024.90000000002</v>
      </c>
      <c r="F109" s="128">
        <f t="shared" si="21"/>
        <v>2471713.0399999996</v>
      </c>
      <c r="G109" s="206">
        <v>314</v>
      </c>
      <c r="H109" s="207">
        <f t="shared" si="31"/>
        <v>7871.6975796178331</v>
      </c>
      <c r="I109" s="182">
        <f t="shared" si="22"/>
        <v>1.4142824749690606E-3</v>
      </c>
      <c r="J109" s="5">
        <f>Calculations!AS109</f>
        <v>2408440.4453565408</v>
      </c>
      <c r="K109" s="5">
        <f t="shared" si="23"/>
        <v>295944.82648030005</v>
      </c>
      <c r="L109" s="5">
        <f t="shared" si="24"/>
        <v>2704385.271836841</v>
      </c>
      <c r="M109" s="119">
        <f>'Student Enrollment Data'!CK110</f>
        <v>286.5</v>
      </c>
      <c r="N109" s="5">
        <f t="shared" si="30"/>
        <v>9439.3901285753618</v>
      </c>
      <c r="O109" s="248">
        <f>F109*('Front page'!$H$11+1)</f>
        <v>2545864.4311999995</v>
      </c>
      <c r="P109" s="250">
        <f>H109*('Front page'!$H$10+1)</f>
        <v>8265.2824585987255</v>
      </c>
      <c r="Q109" s="250">
        <f t="shared" si="32"/>
        <v>2368003.4243885349</v>
      </c>
      <c r="R109" s="250">
        <f t="shared" si="33"/>
        <v>-336381.84744830616</v>
      </c>
      <c r="S109" s="7">
        <f t="shared" si="34"/>
        <v>2704385.271836841</v>
      </c>
      <c r="T109" s="7">
        <f t="shared" si="35"/>
        <v>0</v>
      </c>
      <c r="U109" s="5">
        <f t="shared" si="36"/>
        <v>0</v>
      </c>
    </row>
    <row r="110" spans="1:21">
      <c r="A110" t="str">
        <f t="shared" si="19"/>
        <v>416</v>
      </c>
      <c r="B110">
        <f t="shared" si="20"/>
        <v>416</v>
      </c>
      <c r="C110" s="14" t="s">
        <v>118</v>
      </c>
      <c r="D110" s="128">
        <v>150094.19</v>
      </c>
      <c r="E110" s="128">
        <v>36901</v>
      </c>
      <c r="F110" s="128">
        <f t="shared" si="21"/>
        <v>186995.19</v>
      </c>
      <c r="G110" s="206">
        <v>7</v>
      </c>
      <c r="H110" s="207">
        <f t="shared" si="31"/>
        <v>26713.598571428571</v>
      </c>
      <c r="I110" s="182">
        <f t="shared" si="22"/>
        <v>1.0699624747721918E-4</v>
      </c>
      <c r="J110" s="5">
        <f>Calculations!AS110</f>
        <v>180577.0936289829</v>
      </c>
      <c r="K110" s="5">
        <f t="shared" si="23"/>
        <v>40293.936246999998</v>
      </c>
      <c r="L110" s="5">
        <f t="shared" si="24"/>
        <v>220871.0298759829</v>
      </c>
      <c r="M110" s="119">
        <f>'Student Enrollment Data'!CK111</f>
        <v>5.5</v>
      </c>
      <c r="N110" s="5">
        <f t="shared" si="30"/>
        <v>40158.369068360531</v>
      </c>
      <c r="O110" s="248">
        <f>F110*('Front page'!$H$11+1)</f>
        <v>192605.04570000002</v>
      </c>
      <c r="P110" s="250">
        <f>H110*('Front page'!$H$10+1)</f>
        <v>28049.2785</v>
      </c>
      <c r="Q110" s="250">
        <f t="shared" si="32"/>
        <v>154271.03174999999</v>
      </c>
      <c r="R110" s="250">
        <f t="shared" si="33"/>
        <v>-66599.998125982907</v>
      </c>
      <c r="S110" s="7">
        <f t="shared" si="34"/>
        <v>220871.0298759829</v>
      </c>
      <c r="T110" s="7">
        <f t="shared" si="35"/>
        <v>0</v>
      </c>
      <c r="U110" s="5">
        <f t="shared" si="36"/>
        <v>0</v>
      </c>
    </row>
    <row r="111" spans="1:21">
      <c r="A111" t="str">
        <f t="shared" si="19"/>
        <v>417</v>
      </c>
      <c r="B111">
        <f t="shared" si="20"/>
        <v>417</v>
      </c>
      <c r="C111" s="14" t="s">
        <v>119</v>
      </c>
      <c r="D111" s="128">
        <v>2196323.8499999996</v>
      </c>
      <c r="E111" s="128">
        <v>221521.81</v>
      </c>
      <c r="F111" s="128">
        <f t="shared" si="21"/>
        <v>2417845.6599999997</v>
      </c>
      <c r="G111" s="206">
        <v>295</v>
      </c>
      <c r="H111" s="207">
        <f t="shared" si="31"/>
        <v>8196.0869830508473</v>
      </c>
      <c r="I111" s="182">
        <f t="shared" si="22"/>
        <v>1.3834602515662587E-3</v>
      </c>
      <c r="J111" s="5">
        <f>Calculations!AS111</f>
        <v>2718437.9951345869</v>
      </c>
      <c r="K111" s="5">
        <f t="shared" si="23"/>
        <v>241890.07586407001</v>
      </c>
      <c r="L111" s="5">
        <f t="shared" si="24"/>
        <v>2960328.070998657</v>
      </c>
      <c r="M111" s="119">
        <f>'Student Enrollment Data'!CK112</f>
        <v>338</v>
      </c>
      <c r="N111" s="5">
        <f t="shared" si="30"/>
        <v>8758.3670739605241</v>
      </c>
      <c r="O111" s="248">
        <f>F111*('Front page'!$H$11+1)</f>
        <v>2490381.0297999997</v>
      </c>
      <c r="P111" s="250">
        <f>H111*('Front page'!$H$10+1)</f>
        <v>8605.8913322033895</v>
      </c>
      <c r="Q111" s="250">
        <f t="shared" si="32"/>
        <v>2908791.2702847458</v>
      </c>
      <c r="R111" s="250">
        <f t="shared" si="33"/>
        <v>-51536.800713911187</v>
      </c>
      <c r="S111" s="7">
        <f t="shared" si="34"/>
        <v>2960328.070998657</v>
      </c>
      <c r="T111" s="7">
        <f t="shared" si="35"/>
        <v>0</v>
      </c>
      <c r="U111" s="5">
        <f t="shared" si="36"/>
        <v>0</v>
      </c>
    </row>
    <row r="112" spans="1:21">
      <c r="A112" t="str">
        <f t="shared" si="19"/>
        <v>418</v>
      </c>
      <c r="B112">
        <f t="shared" si="20"/>
        <v>418</v>
      </c>
      <c r="C112" s="14" t="s">
        <v>120</v>
      </c>
      <c r="D112" s="128">
        <v>2305218.86</v>
      </c>
      <c r="E112" s="128">
        <v>275851.51999999996</v>
      </c>
      <c r="F112" s="128">
        <f t="shared" si="21"/>
        <v>2581070.38</v>
      </c>
      <c r="G112" s="206">
        <v>336</v>
      </c>
      <c r="H112" s="207">
        <f t="shared" si="31"/>
        <v>7681.757083333333</v>
      </c>
      <c r="I112" s="182">
        <f t="shared" si="22"/>
        <v>1.4768553412234837E-3</v>
      </c>
      <c r="J112" s="5">
        <f>Calculations!AS112</f>
        <v>2654871.4394448767</v>
      </c>
      <c r="K112" s="5">
        <f t="shared" si="23"/>
        <v>301215.23970943998</v>
      </c>
      <c r="L112" s="5">
        <f t="shared" si="24"/>
        <v>2956086.6791543169</v>
      </c>
      <c r="M112" s="119">
        <f>'Student Enrollment Data'!CK113</f>
        <v>343</v>
      </c>
      <c r="N112" s="5">
        <f t="shared" si="30"/>
        <v>8618.3285106539843</v>
      </c>
      <c r="O112" s="248">
        <f>F112*('Front page'!$H$11+1)</f>
        <v>2658502.4914000002</v>
      </c>
      <c r="P112" s="250">
        <f>H112*('Front page'!$H$10+1)</f>
        <v>8065.8449375</v>
      </c>
      <c r="Q112" s="250">
        <f t="shared" si="32"/>
        <v>2766584.8135624998</v>
      </c>
      <c r="R112" s="250">
        <f t="shared" si="33"/>
        <v>-189501.86559181707</v>
      </c>
      <c r="S112" s="7">
        <f t="shared" si="34"/>
        <v>2956086.6791543169</v>
      </c>
      <c r="T112" s="7">
        <f t="shared" si="35"/>
        <v>0</v>
      </c>
      <c r="U112" s="5">
        <f t="shared" si="36"/>
        <v>0</v>
      </c>
    </row>
    <row r="113" spans="1:21">
      <c r="A113" t="str">
        <f t="shared" si="19"/>
        <v>421</v>
      </c>
      <c r="B113">
        <f t="shared" si="20"/>
        <v>421</v>
      </c>
      <c r="C113" s="14" t="s">
        <v>121</v>
      </c>
      <c r="D113" s="128">
        <v>6479169.7300000004</v>
      </c>
      <c r="E113" s="128">
        <v>782906.17999999993</v>
      </c>
      <c r="F113" s="128">
        <f t="shared" si="21"/>
        <v>7262075.9100000001</v>
      </c>
      <c r="G113" s="206">
        <v>1141.5</v>
      </c>
      <c r="H113" s="207">
        <f t="shared" si="31"/>
        <v>6361.871143232589</v>
      </c>
      <c r="I113" s="182">
        <f t="shared" si="22"/>
        <v>4.1552666208404167E-3</v>
      </c>
      <c r="J113" s="5">
        <f>Calculations!AS113</f>
        <v>7369508.141408734</v>
      </c>
      <c r="K113" s="5">
        <f t="shared" si="23"/>
        <v>854892.05453245994</v>
      </c>
      <c r="L113" s="5">
        <f t="shared" si="24"/>
        <v>8224400.195941194</v>
      </c>
      <c r="M113" s="119">
        <f>'Student Enrollment Data'!CK114</f>
        <v>1229</v>
      </c>
      <c r="N113" s="5">
        <f t="shared" si="30"/>
        <v>6691.9448298951947</v>
      </c>
      <c r="O113" s="248">
        <f>F113*('Front page'!$H$11+1)</f>
        <v>7479938.1873000003</v>
      </c>
      <c r="P113" s="250">
        <f>H113*('Front page'!$H$10+1)</f>
        <v>6679.9647003942191</v>
      </c>
      <c r="Q113" s="250">
        <f t="shared" si="32"/>
        <v>8209676.6167844953</v>
      </c>
      <c r="R113" s="250">
        <f t="shared" si="33"/>
        <v>-14723.579156698659</v>
      </c>
      <c r="S113" s="7">
        <f t="shared" si="34"/>
        <v>8224400.195941194</v>
      </c>
      <c r="T113" s="7">
        <f t="shared" si="35"/>
        <v>0</v>
      </c>
      <c r="U113" s="5">
        <f t="shared" si="36"/>
        <v>0</v>
      </c>
    </row>
    <row r="114" spans="1:21">
      <c r="A114" t="str">
        <f t="shared" si="19"/>
        <v>422</v>
      </c>
      <c r="B114">
        <f t="shared" si="20"/>
        <v>422</v>
      </c>
      <c r="C114" s="14" t="s">
        <v>122</v>
      </c>
      <c r="D114" s="128">
        <v>1653685.76</v>
      </c>
      <c r="E114" s="128">
        <v>148568.9</v>
      </c>
      <c r="F114" s="128">
        <f t="shared" si="21"/>
        <v>1802254.66</v>
      </c>
      <c r="G114" s="206">
        <v>220.5</v>
      </c>
      <c r="H114" s="207">
        <f t="shared" si="31"/>
        <v>8173.4905215419494</v>
      </c>
      <c r="I114" s="182">
        <f t="shared" si="22"/>
        <v>1.0312269829952927E-3</v>
      </c>
      <c r="J114" s="5">
        <f>Calculations!AS114</f>
        <v>1904313.4027973805</v>
      </c>
      <c r="K114" s="5">
        <f t="shared" si="23"/>
        <v>162229.36464829999</v>
      </c>
      <c r="L114" s="5">
        <f t="shared" si="24"/>
        <v>2066542.7674456805</v>
      </c>
      <c r="M114" s="119">
        <f>'Student Enrollment Data'!CK115</f>
        <v>209</v>
      </c>
      <c r="N114" s="5">
        <f t="shared" si="30"/>
        <v>9887.764437539141</v>
      </c>
      <c r="O114" s="248">
        <f>F114*('Front page'!$H$11+1)</f>
        <v>1856322.2997999999</v>
      </c>
      <c r="P114" s="250">
        <f>H114*('Front page'!$H$10+1)</f>
        <v>8582.165047619048</v>
      </c>
      <c r="Q114" s="250">
        <f t="shared" si="32"/>
        <v>1793672.4949523811</v>
      </c>
      <c r="R114" s="250">
        <f t="shared" si="33"/>
        <v>-272870.27249329933</v>
      </c>
      <c r="S114" s="7">
        <f t="shared" si="34"/>
        <v>2066542.7674456805</v>
      </c>
      <c r="T114" s="7">
        <f t="shared" si="35"/>
        <v>0</v>
      </c>
      <c r="U114" s="5">
        <f t="shared" si="36"/>
        <v>0</v>
      </c>
    </row>
    <row r="115" spans="1:21">
      <c r="A115" t="str">
        <f t="shared" si="19"/>
        <v>431</v>
      </c>
      <c r="B115">
        <f t="shared" si="20"/>
        <v>431</v>
      </c>
      <c r="C115" s="14" t="s">
        <v>123</v>
      </c>
      <c r="D115" s="128">
        <v>8388295.6999999993</v>
      </c>
      <c r="E115" s="128">
        <v>711420.72000000009</v>
      </c>
      <c r="F115" s="128">
        <f t="shared" si="21"/>
        <v>9099716.4199999999</v>
      </c>
      <c r="G115" s="206">
        <v>1479.5</v>
      </c>
      <c r="H115" s="207">
        <f t="shared" si="31"/>
        <v>6150.5349239607976</v>
      </c>
      <c r="I115" s="182">
        <f t="shared" si="22"/>
        <v>5.2067409329985175E-3</v>
      </c>
      <c r="J115" s="5">
        <f>Calculations!AS115</f>
        <v>8622514.8756448086</v>
      </c>
      <c r="K115" s="5">
        <f t="shared" si="23"/>
        <v>776833.72094184009</v>
      </c>
      <c r="L115" s="5">
        <f t="shared" si="24"/>
        <v>9399348.5965866484</v>
      </c>
      <c r="M115" s="119">
        <f>'Student Enrollment Data'!CK116</f>
        <v>1523.0107156862746</v>
      </c>
      <c r="N115" s="5">
        <f t="shared" si="30"/>
        <v>6171.5577571305957</v>
      </c>
      <c r="O115" s="248">
        <f>F115*('Front page'!$H$11+1)</f>
        <v>9372707.9125999995</v>
      </c>
      <c r="P115" s="250">
        <f>H115*('Front page'!$H$10+1)</f>
        <v>6458.0616701588378</v>
      </c>
      <c r="Q115" s="250">
        <f t="shared" si="32"/>
        <v>9835697.1262147091</v>
      </c>
      <c r="R115" s="250">
        <f t="shared" si="33"/>
        <v>0</v>
      </c>
      <c r="S115" s="7">
        <f t="shared" si="34"/>
        <v>9399348.5965866484</v>
      </c>
      <c r="T115" s="7">
        <f t="shared" si="35"/>
        <v>0</v>
      </c>
      <c r="U115" s="5">
        <f t="shared" si="36"/>
        <v>0</v>
      </c>
    </row>
    <row r="116" spans="1:21">
      <c r="A116" t="str">
        <f t="shared" si="19"/>
        <v>432</v>
      </c>
      <c r="B116">
        <f t="shared" si="20"/>
        <v>432</v>
      </c>
      <c r="C116" s="14" t="s">
        <v>124</v>
      </c>
      <c r="D116" s="128">
        <v>1443550.76</v>
      </c>
      <c r="E116" s="128">
        <v>124974.6</v>
      </c>
      <c r="F116" s="128">
        <f t="shared" si="21"/>
        <v>1568525.36</v>
      </c>
      <c r="G116" s="206">
        <v>122.5</v>
      </c>
      <c r="H116" s="207">
        <f t="shared" si="31"/>
        <v>12804.288653061225</v>
      </c>
      <c r="I116" s="182">
        <f t="shared" si="22"/>
        <v>8.9749007764774232E-4</v>
      </c>
      <c r="J116" s="5">
        <f>Calculations!AS116</f>
        <v>1526527.12761349</v>
      </c>
      <c r="K116" s="5">
        <f t="shared" si="23"/>
        <v>136465.63954619999</v>
      </c>
      <c r="L116" s="5">
        <f t="shared" si="24"/>
        <v>1662992.7671596899</v>
      </c>
      <c r="M116" s="119">
        <f>'Student Enrollment Data'!CK117</f>
        <v>114</v>
      </c>
      <c r="N116" s="5">
        <f t="shared" si="30"/>
        <v>14587.655852277981</v>
      </c>
      <c r="O116" s="248">
        <f>F116*('Front page'!$H$11+1)</f>
        <v>1615581.1208000001</v>
      </c>
      <c r="P116" s="250">
        <f>H116*('Front page'!$H$10+1)</f>
        <v>13444.503085714286</v>
      </c>
      <c r="Q116" s="250">
        <f t="shared" si="32"/>
        <v>1532673.3517714287</v>
      </c>
      <c r="R116" s="250">
        <f t="shared" si="33"/>
        <v>-130319.4153882612</v>
      </c>
      <c r="S116" s="7">
        <f t="shared" si="34"/>
        <v>1662992.7671596899</v>
      </c>
      <c r="T116" s="7">
        <f t="shared" si="35"/>
        <v>0</v>
      </c>
      <c r="U116" s="5">
        <f t="shared" si="36"/>
        <v>0</v>
      </c>
    </row>
    <row r="117" spans="1:21">
      <c r="A117" t="str">
        <f t="shared" si="19"/>
        <v>433</v>
      </c>
      <c r="B117">
        <f t="shared" si="20"/>
        <v>433</v>
      </c>
      <c r="C117" s="14" t="s">
        <v>125</v>
      </c>
      <c r="D117" s="128">
        <v>1459804.39</v>
      </c>
      <c r="E117" s="128">
        <v>122391.8</v>
      </c>
      <c r="F117" s="128">
        <f t="shared" si="21"/>
        <v>1582196.19</v>
      </c>
      <c r="G117" s="206">
        <v>105</v>
      </c>
      <c r="H117" s="207">
        <f t="shared" si="31"/>
        <v>15068.535142857143</v>
      </c>
      <c r="I117" s="182">
        <f t="shared" si="22"/>
        <v>9.053123510971234E-4</v>
      </c>
      <c r="J117" s="5">
        <f>Calculations!AS117</f>
        <v>1446436.7050156686</v>
      </c>
      <c r="K117" s="5">
        <f t="shared" si="23"/>
        <v>133645.35883459999</v>
      </c>
      <c r="L117" s="5">
        <f t="shared" si="24"/>
        <v>1580082.0638502687</v>
      </c>
      <c r="M117" s="119">
        <f>'Student Enrollment Data'!CK118</f>
        <v>111</v>
      </c>
      <c r="N117" s="5">
        <f t="shared" si="30"/>
        <v>14234.97354820062</v>
      </c>
      <c r="O117" s="248">
        <f>F117*('Front page'!$H$11+1)</f>
        <v>1629662.0756999999</v>
      </c>
      <c r="P117" s="250">
        <f>H117*('Front page'!$H$10+1)</f>
        <v>15821.9619</v>
      </c>
      <c r="Q117" s="250">
        <f t="shared" si="32"/>
        <v>1756237.7709000001</v>
      </c>
      <c r="R117" s="250">
        <f t="shared" si="33"/>
        <v>0</v>
      </c>
      <c r="S117" s="7">
        <f t="shared" si="34"/>
        <v>1629662.0756999999</v>
      </c>
      <c r="T117" s="7">
        <f t="shared" si="35"/>
        <v>49580.011849731207</v>
      </c>
      <c r="U117" s="5">
        <f t="shared" si="36"/>
        <v>2114.1261497312225</v>
      </c>
    </row>
    <row r="118" spans="1:21">
      <c r="A118" s="35" t="str">
        <f t="shared" si="19"/>
        <v>451</v>
      </c>
      <c r="B118" s="35">
        <f t="shared" si="20"/>
        <v>451</v>
      </c>
      <c r="C118" s="127" t="s">
        <v>126</v>
      </c>
      <c r="D118" s="128">
        <v>2608651.04</v>
      </c>
      <c r="E118" s="128">
        <v>363410</v>
      </c>
      <c r="F118" s="128">
        <f t="shared" si="21"/>
        <v>2972061.04</v>
      </c>
      <c r="G118" s="206">
        <v>388.5</v>
      </c>
      <c r="H118" s="207">
        <f t="shared" si="31"/>
        <v>7650.0927670527672</v>
      </c>
      <c r="I118" s="183">
        <f t="shared" si="22"/>
        <v>1.7005751781810079E-3</v>
      </c>
      <c r="J118" s="129">
        <f>Calculations!AS118</f>
        <v>3015407.640601215</v>
      </c>
      <c r="K118" s="129">
        <f t="shared" si="23"/>
        <v>396824.45926999999</v>
      </c>
      <c r="L118" s="129">
        <f t="shared" si="24"/>
        <v>3412232.0998712149</v>
      </c>
      <c r="M118" s="119">
        <f>'Student Enrollment Data'!CK119</f>
        <v>394</v>
      </c>
      <c r="N118" s="5">
        <f t="shared" si="30"/>
        <v>8660.4875631249106</v>
      </c>
      <c r="O118" s="248">
        <f>F118*('Front page'!$H$11+1)</f>
        <v>3061222.8711999999</v>
      </c>
      <c r="P118" s="250">
        <f>H118*('Front page'!$H$10+1)</f>
        <v>8032.5974054054059</v>
      </c>
      <c r="Q118" s="250">
        <f t="shared" si="32"/>
        <v>3164843.3777297297</v>
      </c>
      <c r="R118" s="250">
        <f t="shared" si="33"/>
        <v>-247388.7221414852</v>
      </c>
      <c r="S118" s="7">
        <f t="shared" si="34"/>
        <v>3412232.0998712149</v>
      </c>
      <c r="T118" s="7">
        <f t="shared" si="35"/>
        <v>0</v>
      </c>
      <c r="U118" s="5">
        <f t="shared" si="36"/>
        <v>0</v>
      </c>
    </row>
    <row r="119" spans="1:21">
      <c r="A119" s="27" t="str">
        <f t="shared" si="19"/>
        <v>452</v>
      </c>
      <c r="B119" s="27">
        <f t="shared" si="20"/>
        <v>452</v>
      </c>
      <c r="C119" s="15" t="s">
        <v>127</v>
      </c>
      <c r="D119" s="128">
        <v>9836793.8499999996</v>
      </c>
      <c r="E119" s="128">
        <v>1742036</v>
      </c>
      <c r="F119" s="128">
        <f t="shared" si="21"/>
        <v>11578829.85</v>
      </c>
      <c r="G119" s="206">
        <v>1872.5</v>
      </c>
      <c r="H119" s="207">
        <f t="shared" si="31"/>
        <v>6183.6207476635509</v>
      </c>
      <c r="I119" s="182">
        <f t="shared" si="22"/>
        <v>6.625257816135338E-3</v>
      </c>
      <c r="J119" s="5">
        <f>Calculations!AS119</f>
        <v>9769707.1604263652</v>
      </c>
      <c r="K119" s="5">
        <f t="shared" si="23"/>
        <v>1902210.9840919999</v>
      </c>
      <c r="L119" s="5">
        <f t="shared" si="24"/>
        <v>11671918.144518364</v>
      </c>
      <c r="M119" s="119">
        <f>'Student Enrollment Data'!CK120</f>
        <v>1762.3156862745097</v>
      </c>
      <c r="N119" s="5">
        <f t="shared" si="30"/>
        <v>6623.0575120127887</v>
      </c>
      <c r="O119" s="248">
        <f>F119*('Front page'!$H$11+1)</f>
        <v>11926194.7455</v>
      </c>
      <c r="P119" s="250">
        <f>H119*('Front page'!$H$10+1)</f>
        <v>6492.8017850467286</v>
      </c>
      <c r="Q119" s="250">
        <f t="shared" si="32"/>
        <v>11442366.433658987</v>
      </c>
      <c r="R119" s="250">
        <f t="shared" si="33"/>
        <v>-229551.71085937694</v>
      </c>
      <c r="S119" s="7">
        <f t="shared" si="34"/>
        <v>11926194.7455</v>
      </c>
      <c r="T119" s="7">
        <f t="shared" si="35"/>
        <v>254276.60098163597</v>
      </c>
      <c r="U119" s="5">
        <f t="shared" si="36"/>
        <v>0</v>
      </c>
    </row>
    <row r="120" spans="1:21">
      <c r="A120" s="27" t="str">
        <f t="shared" si="19"/>
        <v>453</v>
      </c>
      <c r="B120" s="27">
        <f t="shared" si="20"/>
        <v>453</v>
      </c>
      <c r="C120" s="15" t="s">
        <v>128</v>
      </c>
      <c r="D120" s="128">
        <v>3829703.5700000003</v>
      </c>
      <c r="E120" s="128">
        <v>151446.95000000001</v>
      </c>
      <c r="F120" s="128">
        <f t="shared" si="21"/>
        <v>3981150.5200000005</v>
      </c>
      <c r="G120" s="206">
        <v>470</v>
      </c>
      <c r="H120" s="207">
        <f t="shared" si="31"/>
        <v>8470.5330212765966</v>
      </c>
      <c r="I120" s="182">
        <f t="shared" si="22"/>
        <v>2.2779632261235162E-3</v>
      </c>
      <c r="J120" s="5">
        <f>Calculations!AS120</f>
        <v>3594327.5323025985</v>
      </c>
      <c r="K120" s="5">
        <f t="shared" si="23"/>
        <v>165372.04271165002</v>
      </c>
      <c r="L120" s="5">
        <f t="shared" si="24"/>
        <v>3759699.5750142485</v>
      </c>
      <c r="M120" s="119">
        <f>'Student Enrollment Data'!CK121</f>
        <v>487.26568627450979</v>
      </c>
      <c r="N120" s="5">
        <f t="shared" si="30"/>
        <v>7715.912860106786</v>
      </c>
      <c r="O120" s="248">
        <f>F120*('Front page'!$H$11+1)</f>
        <v>4100585.0356000005</v>
      </c>
      <c r="P120" s="250">
        <f>H120*('Front page'!$H$10+1)</f>
        <v>8894.0596723404269</v>
      </c>
      <c r="Q120" s="250">
        <f t="shared" si="32"/>
        <v>4333770.0900093997</v>
      </c>
      <c r="R120" s="250">
        <f t="shared" si="33"/>
        <v>0</v>
      </c>
      <c r="S120" s="7">
        <f t="shared" si="34"/>
        <v>4100585.0356000005</v>
      </c>
      <c r="T120" s="7">
        <f t="shared" si="35"/>
        <v>340885.46058575204</v>
      </c>
      <c r="U120" s="5">
        <f t="shared" si="36"/>
        <v>221450.94498575199</v>
      </c>
    </row>
    <row r="121" spans="1:21">
      <c r="A121" s="27" t="str">
        <f t="shared" si="19"/>
        <v>454</v>
      </c>
      <c r="B121" s="27">
        <f t="shared" si="20"/>
        <v>454</v>
      </c>
      <c r="C121" s="15" t="s">
        <v>129</v>
      </c>
      <c r="D121" s="128">
        <v>1487500.38</v>
      </c>
      <c r="E121" s="128">
        <v>184994.12</v>
      </c>
      <c r="F121" s="128">
        <f t="shared" si="21"/>
        <v>1672494.5</v>
      </c>
      <c r="G121" s="206">
        <v>252</v>
      </c>
      <c r="H121" s="207">
        <f t="shared" si="31"/>
        <v>6636.8829365079364</v>
      </c>
      <c r="I121" s="182">
        <f t="shared" si="22"/>
        <v>9.5697988502425099E-4</v>
      </c>
      <c r="J121" s="5">
        <f>Calculations!AS121</f>
        <v>1704403.7786961813</v>
      </c>
      <c r="K121" s="5">
        <f t="shared" si="23"/>
        <v>202003.77435163999</v>
      </c>
      <c r="L121" s="5">
        <f t="shared" si="24"/>
        <v>1906407.5530478212</v>
      </c>
      <c r="M121" s="119">
        <f>'Student Enrollment Data'!CK122</f>
        <v>234.5</v>
      </c>
      <c r="N121" s="5">
        <f t="shared" si="30"/>
        <v>8129.6697358116044</v>
      </c>
      <c r="O121" s="248">
        <f>F121*('Front page'!$H$11+1)</f>
        <v>1722669.335</v>
      </c>
      <c r="P121" s="250">
        <f>H121*('Front page'!$H$10+1)</f>
        <v>6968.7270833333332</v>
      </c>
      <c r="Q121" s="250">
        <f t="shared" si="32"/>
        <v>1634166.5010416666</v>
      </c>
      <c r="R121" s="250">
        <f t="shared" si="33"/>
        <v>-272241.05200615455</v>
      </c>
      <c r="S121" s="7">
        <f t="shared" si="34"/>
        <v>1906407.5530478212</v>
      </c>
      <c r="T121" s="7">
        <f t="shared" si="35"/>
        <v>0</v>
      </c>
      <c r="U121" s="5">
        <f t="shared" si="36"/>
        <v>0</v>
      </c>
    </row>
    <row r="122" spans="1:21">
      <c r="A122" s="27" t="str">
        <f t="shared" si="19"/>
        <v>455</v>
      </c>
      <c r="B122" s="27">
        <f t="shared" si="20"/>
        <v>455</v>
      </c>
      <c r="C122" s="15" t="s">
        <v>130</v>
      </c>
      <c r="D122" s="128">
        <v>4814684.1500000004</v>
      </c>
      <c r="E122" s="128">
        <v>860974.97</v>
      </c>
      <c r="F122" s="128">
        <f t="shared" si="21"/>
        <v>5675659.1200000001</v>
      </c>
      <c r="G122" s="206">
        <v>881.5</v>
      </c>
      <c r="H122" s="207">
        <f t="shared" si="31"/>
        <v>6438.6376857629039</v>
      </c>
      <c r="I122" s="182">
        <f t="shared" si="22"/>
        <v>3.2475392965982497E-3</v>
      </c>
      <c r="J122" s="5">
        <f>Calculations!AS122</f>
        <v>6087860.8250948563</v>
      </c>
      <c r="K122" s="5">
        <f t="shared" si="23"/>
        <v>940139.03556659003</v>
      </c>
      <c r="L122" s="5">
        <f t="shared" si="24"/>
        <v>7027999.8606614461</v>
      </c>
      <c r="M122" s="119">
        <f>'Student Enrollment Data'!CK123</f>
        <v>1033.5</v>
      </c>
      <c r="N122" s="5">
        <f t="shared" si="30"/>
        <v>6800.1933823526333</v>
      </c>
      <c r="O122" s="248">
        <f>F122*('Front page'!$H$11+1)</f>
        <v>5845928.8936000001</v>
      </c>
      <c r="P122" s="250">
        <f>H122*('Front page'!$H$10+1)</f>
        <v>6760.5695700510496</v>
      </c>
      <c r="Q122" s="250">
        <f t="shared" si="32"/>
        <v>6987048.6506477594</v>
      </c>
      <c r="R122" s="250">
        <f t="shared" si="33"/>
        <v>-40951.210013686679</v>
      </c>
      <c r="S122" s="7">
        <f t="shared" si="34"/>
        <v>7027999.8606614461</v>
      </c>
      <c r="T122" s="7">
        <f t="shared" si="35"/>
        <v>0</v>
      </c>
      <c r="U122" s="5">
        <f t="shared" si="36"/>
        <v>0</v>
      </c>
    </row>
    <row r="123" spans="1:21">
      <c r="A123" s="27" t="str">
        <f t="shared" si="19"/>
        <v>456</v>
      </c>
      <c r="B123" s="27">
        <f t="shared" si="20"/>
        <v>456</v>
      </c>
      <c r="C123" s="15" t="s">
        <v>131</v>
      </c>
      <c r="D123" s="128">
        <v>1575647.72</v>
      </c>
      <c r="E123" s="128">
        <v>336936.53</v>
      </c>
      <c r="F123" s="128">
        <f t="shared" si="21"/>
        <v>1912584.25</v>
      </c>
      <c r="G123" s="206">
        <v>263</v>
      </c>
      <c r="H123" s="207">
        <f t="shared" si="31"/>
        <v>7272.1834600760458</v>
      </c>
      <c r="I123" s="182">
        <f t="shared" si="22"/>
        <v>1.0943561582200678E-3</v>
      </c>
      <c r="J123" s="5">
        <f>Calculations!AS123</f>
        <v>1854727.665475064</v>
      </c>
      <c r="K123" s="5">
        <f t="shared" si="23"/>
        <v>367916.83312391001</v>
      </c>
      <c r="L123" s="5">
        <f t="shared" si="24"/>
        <v>2222644.4985989742</v>
      </c>
      <c r="M123" s="119">
        <f>'Student Enrollment Data'!CK124</f>
        <v>261</v>
      </c>
      <c r="N123" s="5">
        <f t="shared" si="30"/>
        <v>8515.879304976912</v>
      </c>
      <c r="O123" s="248">
        <f>F123*('Front page'!$H$11+1)</f>
        <v>1969961.7775000001</v>
      </c>
      <c r="P123" s="250">
        <f>H123*('Front page'!$H$10+1)</f>
        <v>7635.7926330798482</v>
      </c>
      <c r="Q123" s="250">
        <f t="shared" si="32"/>
        <v>1992941.8772338403</v>
      </c>
      <c r="R123" s="250">
        <f t="shared" si="33"/>
        <v>-229702.62136513391</v>
      </c>
      <c r="S123" s="7">
        <f t="shared" si="34"/>
        <v>2222644.4985989742</v>
      </c>
      <c r="T123" s="7">
        <f t="shared" si="35"/>
        <v>0</v>
      </c>
      <c r="U123" s="5">
        <f t="shared" si="36"/>
        <v>0</v>
      </c>
    </row>
    <row r="124" spans="1:21">
      <c r="A124" s="27" t="str">
        <f t="shared" si="19"/>
        <v>457</v>
      </c>
      <c r="B124" s="27">
        <f t="shared" si="20"/>
        <v>457</v>
      </c>
      <c r="C124" s="15" t="s">
        <v>132</v>
      </c>
      <c r="D124" s="128">
        <v>4775691.09</v>
      </c>
      <c r="E124" s="128">
        <v>701423.88</v>
      </c>
      <c r="F124" s="128">
        <f t="shared" si="21"/>
        <v>5477114.9699999997</v>
      </c>
      <c r="G124" s="206">
        <v>978.5</v>
      </c>
      <c r="H124" s="207">
        <f t="shared" si="31"/>
        <v>5597.4603679100665</v>
      </c>
      <c r="I124" s="182">
        <f t="shared" si="22"/>
        <v>3.1339348824496603E-3</v>
      </c>
      <c r="J124" s="5">
        <f>Calculations!AS124</f>
        <v>5786796.7010227749</v>
      </c>
      <c r="K124" s="5">
        <f t="shared" si="23"/>
        <v>765917.70149435999</v>
      </c>
      <c r="L124" s="5">
        <f t="shared" si="24"/>
        <v>6552714.4025171353</v>
      </c>
      <c r="M124" s="119">
        <f>'Student Enrollment Data'!CK125</f>
        <v>963.5</v>
      </c>
      <c r="N124" s="5">
        <f t="shared" si="30"/>
        <v>6800.9490425709755</v>
      </c>
      <c r="O124" s="248">
        <f>F124*('Front page'!$H$11+1)</f>
        <v>5641428.4190999996</v>
      </c>
      <c r="P124" s="250">
        <f>H124*('Front page'!$H$10+1)</f>
        <v>5877.3333863055705</v>
      </c>
      <c r="Q124" s="250">
        <f t="shared" si="32"/>
        <v>5662810.7177054174</v>
      </c>
      <c r="R124" s="250">
        <f t="shared" si="33"/>
        <v>-889903.68481171783</v>
      </c>
      <c r="S124" s="7">
        <f t="shared" si="34"/>
        <v>6552714.4025171353</v>
      </c>
      <c r="T124" s="7">
        <f t="shared" si="35"/>
        <v>0</v>
      </c>
      <c r="U124" s="5">
        <f t="shared" si="36"/>
        <v>0</v>
      </c>
    </row>
    <row r="125" spans="1:21">
      <c r="A125" s="27" t="str">
        <f t="shared" si="19"/>
        <v>458</v>
      </c>
      <c r="B125" s="27">
        <f t="shared" si="20"/>
        <v>458</v>
      </c>
      <c r="C125" s="15" t="s">
        <v>133</v>
      </c>
      <c r="D125" s="128">
        <v>2702487.6300000004</v>
      </c>
      <c r="E125" s="128">
        <v>433169.64999999997</v>
      </c>
      <c r="F125" s="128">
        <f t="shared" si="21"/>
        <v>3135657.2800000003</v>
      </c>
      <c r="G125" s="206">
        <v>401.5</v>
      </c>
      <c r="H125" s="207">
        <f t="shared" si="31"/>
        <v>7809.8562391033629</v>
      </c>
      <c r="I125" s="182">
        <f t="shared" si="22"/>
        <v>1.7941828468134608E-3</v>
      </c>
      <c r="J125" s="5">
        <f>Calculations!AS125</f>
        <v>3055449.5120615172</v>
      </c>
      <c r="K125" s="5">
        <f t="shared" si="23"/>
        <v>472998.29980854999</v>
      </c>
      <c r="L125" s="5">
        <f t="shared" si="24"/>
        <v>3528447.8118700674</v>
      </c>
      <c r="M125" s="119">
        <f>'Student Enrollment Data'!CK126</f>
        <v>401</v>
      </c>
      <c r="N125" s="5">
        <f t="shared" si="30"/>
        <v>8799.1217253617633</v>
      </c>
      <c r="O125" s="248">
        <f>F125*('Front page'!$H$11+1)</f>
        <v>3229726.9984000004</v>
      </c>
      <c r="P125" s="250">
        <f>H125*('Front page'!$H$10+1)</f>
        <v>8200.3490510585307</v>
      </c>
      <c r="Q125" s="250">
        <f t="shared" si="32"/>
        <v>3288339.9694744707</v>
      </c>
      <c r="R125" s="250">
        <f t="shared" si="33"/>
        <v>-240107.84239559667</v>
      </c>
      <c r="S125" s="7">
        <f t="shared" si="34"/>
        <v>3528447.8118700674</v>
      </c>
      <c r="T125" s="7">
        <f t="shared" si="35"/>
        <v>0</v>
      </c>
      <c r="U125" s="5">
        <f t="shared" si="36"/>
        <v>0</v>
      </c>
    </row>
    <row r="126" spans="1:21">
      <c r="A126" s="27" t="str">
        <f t="shared" si="19"/>
        <v>460</v>
      </c>
      <c r="B126" s="27">
        <f t="shared" si="20"/>
        <v>460</v>
      </c>
      <c r="C126" s="15" t="s">
        <v>134</v>
      </c>
      <c r="D126" s="128">
        <v>2857944.61</v>
      </c>
      <c r="E126" s="128">
        <v>348733.91000000003</v>
      </c>
      <c r="F126" s="128">
        <f t="shared" si="21"/>
        <v>3206678.52</v>
      </c>
      <c r="G126" s="206">
        <v>527</v>
      </c>
      <c r="H126" s="207">
        <f t="shared" si="31"/>
        <v>6084.7789753320685</v>
      </c>
      <c r="I126" s="182">
        <f t="shared" si="22"/>
        <v>1.8348202887240198E-3</v>
      </c>
      <c r="J126" s="5">
        <f>Calculations!AS126</f>
        <v>3325744.1282058209</v>
      </c>
      <c r="K126" s="5">
        <f t="shared" si="23"/>
        <v>380798.94682277006</v>
      </c>
      <c r="L126" s="5">
        <f t="shared" si="24"/>
        <v>3706543.0750285909</v>
      </c>
      <c r="M126" s="119">
        <f>'Student Enrollment Data'!CK127</f>
        <v>528</v>
      </c>
      <c r="N126" s="5">
        <f t="shared" si="30"/>
        <v>7019.9679451299071</v>
      </c>
      <c r="O126" s="248">
        <f>F126*('Front page'!$H$11+1)</f>
        <v>3302878.8755999999</v>
      </c>
      <c r="P126" s="250">
        <f>H126*('Front page'!$H$10+1)</f>
        <v>6389.0179240986718</v>
      </c>
      <c r="Q126" s="250">
        <f t="shared" si="32"/>
        <v>3373401.4639240988</v>
      </c>
      <c r="R126" s="250">
        <f t="shared" si="33"/>
        <v>-333141.6111044921</v>
      </c>
      <c r="S126" s="7">
        <f t="shared" si="34"/>
        <v>3706543.0750285909</v>
      </c>
      <c r="T126" s="7">
        <f t="shared" si="35"/>
        <v>0</v>
      </c>
      <c r="U126" s="5">
        <f t="shared" si="36"/>
        <v>0</v>
      </c>
    </row>
    <row r="127" spans="1:21">
      <c r="A127" s="27" t="str">
        <f t="shared" si="19"/>
        <v>461</v>
      </c>
      <c r="B127" s="27">
        <f t="shared" si="20"/>
        <v>461</v>
      </c>
      <c r="C127" s="15" t="s">
        <v>135</v>
      </c>
      <c r="D127" s="128">
        <v>2429361.73</v>
      </c>
      <c r="E127" s="128">
        <v>367651.91000000003</v>
      </c>
      <c r="F127" s="128">
        <f t="shared" si="21"/>
        <v>2797013.64</v>
      </c>
      <c r="G127" s="206">
        <v>376</v>
      </c>
      <c r="H127" s="207">
        <f t="shared" si="31"/>
        <v>7438.8660638297879</v>
      </c>
      <c r="I127" s="182">
        <f t="shared" si="22"/>
        <v>1.6004153027818397E-3</v>
      </c>
      <c r="J127" s="5">
        <f>Calculations!AS127</f>
        <v>2668910.3740822561</v>
      </c>
      <c r="K127" s="5">
        <f t="shared" si="23"/>
        <v>401456.40016877005</v>
      </c>
      <c r="L127" s="5">
        <f t="shared" si="24"/>
        <v>3070366.7742510261</v>
      </c>
      <c r="M127" s="119">
        <f>'Student Enrollment Data'!CK128</f>
        <v>352</v>
      </c>
      <c r="N127" s="5">
        <f t="shared" si="30"/>
        <v>8722.6328813949604</v>
      </c>
      <c r="O127" s="248">
        <f>F127*('Front page'!$H$11+1)</f>
        <v>2880924.0492000002</v>
      </c>
      <c r="P127" s="250">
        <f>H127*('Front page'!$H$10+1)</f>
        <v>7810.8093670212775</v>
      </c>
      <c r="Q127" s="250">
        <f t="shared" si="32"/>
        <v>2749404.8971914896</v>
      </c>
      <c r="R127" s="250">
        <f t="shared" si="33"/>
        <v>-320961.87705953652</v>
      </c>
      <c r="S127" s="7">
        <f t="shared" si="34"/>
        <v>3070366.7742510261</v>
      </c>
      <c r="T127" s="7">
        <f t="shared" si="35"/>
        <v>0</v>
      </c>
      <c r="U127" s="5">
        <f t="shared" si="36"/>
        <v>0</v>
      </c>
    </row>
    <row r="128" spans="1:21">
      <c r="A128" s="27" t="str">
        <f t="shared" si="19"/>
        <v>462</v>
      </c>
      <c r="B128" s="27">
        <f t="shared" si="20"/>
        <v>462</v>
      </c>
      <c r="C128" s="15" t="s">
        <v>136</v>
      </c>
      <c r="D128" s="128">
        <v>3860287.49</v>
      </c>
      <c r="E128" s="128">
        <v>646884.87</v>
      </c>
      <c r="F128" s="128">
        <f t="shared" si="21"/>
        <v>4507172.3600000003</v>
      </c>
      <c r="G128" s="206">
        <v>682.5</v>
      </c>
      <c r="H128" s="207">
        <f t="shared" si="31"/>
        <v>6603.9155457875459</v>
      </c>
      <c r="I128" s="182">
        <f t="shared" si="22"/>
        <v>2.5789461710381003E-3</v>
      </c>
      <c r="J128" s="5">
        <f>Calculations!AS128</f>
        <v>4403376.3522617882</v>
      </c>
      <c r="K128" s="5">
        <f t="shared" si="23"/>
        <v>706363.99314189004</v>
      </c>
      <c r="L128" s="5">
        <f t="shared" si="24"/>
        <v>5109740.3454036787</v>
      </c>
      <c r="M128" s="119">
        <f>'Student Enrollment Data'!CK129</f>
        <v>677</v>
      </c>
      <c r="N128" s="5">
        <f t="shared" si="30"/>
        <v>7547.6223713495992</v>
      </c>
      <c r="O128" s="248">
        <f>F128*('Front page'!$H$11+1)</f>
        <v>4642387.5308000008</v>
      </c>
      <c r="P128" s="250">
        <f>H128*('Front page'!$H$10+1)</f>
        <v>6934.1113230769233</v>
      </c>
      <c r="Q128" s="250">
        <f t="shared" si="32"/>
        <v>4694393.3657230772</v>
      </c>
      <c r="R128" s="250">
        <f t="shared" si="33"/>
        <v>-415346.97968060151</v>
      </c>
      <c r="S128" s="7">
        <f t="shared" si="34"/>
        <v>5109740.3454036787</v>
      </c>
      <c r="T128" s="7">
        <f t="shared" si="35"/>
        <v>0</v>
      </c>
      <c r="U128" s="5">
        <f t="shared" si="36"/>
        <v>0</v>
      </c>
    </row>
    <row r="129" spans="1:21">
      <c r="A129" s="27" t="str">
        <f t="shared" si="19"/>
        <v>463</v>
      </c>
      <c r="B129" s="27">
        <f t="shared" si="20"/>
        <v>463</v>
      </c>
      <c r="C129" s="15" t="s">
        <v>137</v>
      </c>
      <c r="D129" s="128">
        <v>4017273.55</v>
      </c>
      <c r="E129" s="128">
        <v>678206.81</v>
      </c>
      <c r="F129" s="128">
        <f t="shared" si="21"/>
        <v>4695480.3599999994</v>
      </c>
      <c r="G129" s="206">
        <v>672.5</v>
      </c>
      <c r="H129" s="207">
        <f t="shared" si="31"/>
        <v>6982.1269293680289</v>
      </c>
      <c r="I129" s="182">
        <f t="shared" si="22"/>
        <v>2.6866935915462967E-3</v>
      </c>
      <c r="J129" s="5">
        <f>Calculations!AS129</f>
        <v>4504082.3071766188</v>
      </c>
      <c r="K129" s="5">
        <f t="shared" si="23"/>
        <v>740565.89155907009</v>
      </c>
      <c r="L129" s="5">
        <f t="shared" si="24"/>
        <v>5244648.1987356888</v>
      </c>
      <c r="M129" s="119">
        <f>'Student Enrollment Data'!CK130</f>
        <v>696</v>
      </c>
      <c r="N129" s="5">
        <f t="shared" si="30"/>
        <v>7535.4140786432308</v>
      </c>
      <c r="O129" s="248">
        <f>F129*('Front page'!$H$11+1)</f>
        <v>4836344.7707999991</v>
      </c>
      <c r="P129" s="250">
        <f>H129*('Front page'!$H$10+1)</f>
        <v>7331.2332758364309</v>
      </c>
      <c r="Q129" s="250">
        <f t="shared" si="32"/>
        <v>5102538.3599821562</v>
      </c>
      <c r="R129" s="250">
        <f t="shared" si="33"/>
        <v>-142109.83875353262</v>
      </c>
      <c r="S129" s="7">
        <f t="shared" si="34"/>
        <v>5244648.1987356888</v>
      </c>
      <c r="T129" s="7">
        <f t="shared" si="35"/>
        <v>0</v>
      </c>
      <c r="U129" s="5">
        <f t="shared" si="36"/>
        <v>0</v>
      </c>
    </row>
    <row r="130" spans="1:21">
      <c r="A130" s="27" t="str">
        <f t="shared" si="19"/>
        <v>464</v>
      </c>
      <c r="B130" s="27">
        <f t="shared" si="20"/>
        <v>464</v>
      </c>
      <c r="C130" s="15" t="s">
        <v>138</v>
      </c>
      <c r="D130" s="128">
        <v>2203201.39</v>
      </c>
      <c r="E130" s="128">
        <v>462208.4</v>
      </c>
      <c r="F130" s="128">
        <f t="shared" si="21"/>
        <v>2665409.79</v>
      </c>
      <c r="G130" s="206">
        <v>426</v>
      </c>
      <c r="H130" s="207">
        <f t="shared" si="31"/>
        <v>6256.8304929577462</v>
      </c>
      <c r="I130" s="182">
        <f t="shared" si="22"/>
        <v>1.5251132690581122E-3</v>
      </c>
      <c r="J130" s="5">
        <f>Calculations!AS130</f>
        <v>3057187.1732876832</v>
      </c>
      <c r="K130" s="5">
        <f t="shared" si="23"/>
        <v>504707.07575480005</v>
      </c>
      <c r="L130" s="5">
        <f t="shared" si="24"/>
        <v>3561894.249042483</v>
      </c>
      <c r="M130" s="119">
        <f>'Student Enrollment Data'!CK131</f>
        <v>502</v>
      </c>
      <c r="N130" s="5">
        <f t="shared" si="30"/>
        <v>7095.4068706025555</v>
      </c>
      <c r="O130" s="248">
        <f>F130*('Front page'!$H$11+1)</f>
        <v>2745372.0837000003</v>
      </c>
      <c r="P130" s="250">
        <f>H130*('Front page'!$H$10+1)</f>
        <v>6569.6720176056342</v>
      </c>
      <c r="Q130" s="250">
        <f t="shared" si="32"/>
        <v>3297975.3528380282</v>
      </c>
      <c r="R130" s="250">
        <f t="shared" si="33"/>
        <v>-263918.89620445482</v>
      </c>
      <c r="S130" s="7">
        <f t="shared" si="34"/>
        <v>3561894.249042483</v>
      </c>
      <c r="T130" s="7">
        <f t="shared" si="35"/>
        <v>0</v>
      </c>
      <c r="U130" s="5">
        <f t="shared" si="36"/>
        <v>0</v>
      </c>
    </row>
    <row r="131" spans="1:21">
      <c r="A131" s="27" t="str">
        <f t="shared" ref="A131:A175" si="37">RIGHT(C131,3)</f>
        <v>465</v>
      </c>
      <c r="B131" s="27">
        <f t="shared" ref="B131:B175" si="38">A131*1</f>
        <v>465</v>
      </c>
      <c r="C131" s="15" t="s">
        <v>139</v>
      </c>
      <c r="D131" s="128">
        <v>1459842</v>
      </c>
      <c r="E131" s="128">
        <v>327657</v>
      </c>
      <c r="F131" s="128">
        <f t="shared" ref="F131:F175" si="39">D131+E131</f>
        <v>1787499</v>
      </c>
      <c r="G131" s="206">
        <v>217</v>
      </c>
      <c r="H131" s="207">
        <f t="shared" si="31"/>
        <v>8237.322580645161</v>
      </c>
      <c r="I131" s="182">
        <f t="shared" ref="I131:I175" si="40">F131/$F$177</f>
        <v>1.0227839837446183E-3</v>
      </c>
      <c r="J131" s="5">
        <f>Calculations!AS131</f>
        <v>1845862.1927872454</v>
      </c>
      <c r="K131" s="5">
        <f t="shared" ref="K131:K175" si="41">E131*1.091947</f>
        <v>357784.078179</v>
      </c>
      <c r="L131" s="5">
        <f t="shared" ref="L131:L175" si="42">J131+K131</f>
        <v>2203646.2709662453</v>
      </c>
      <c r="M131" s="119">
        <f>'Student Enrollment Data'!CK132</f>
        <v>213.5</v>
      </c>
      <c r="N131" s="5">
        <f t="shared" si="30"/>
        <v>10321.528201247051</v>
      </c>
      <c r="O131" s="248">
        <f>F131*('Front page'!$H$11+1)</f>
        <v>1841123.97</v>
      </c>
      <c r="P131" s="250">
        <f>H131*('Front page'!$H$10+1)</f>
        <v>8649.188709677419</v>
      </c>
      <c r="Q131" s="250">
        <f t="shared" ref="Q131:Q162" si="43">P131*M131</f>
        <v>1846601.7895161288</v>
      </c>
      <c r="R131" s="250">
        <f t="shared" ref="R131:R162" si="44">IF(H131=0,0,IF(Q131&lt;L131,Q131-L131,0))</f>
        <v>-357044.48145011649</v>
      </c>
      <c r="S131" s="7">
        <f t="shared" ref="S131:S162" si="45">MAX(O131,F131,L131)</f>
        <v>2203646.2709662453</v>
      </c>
      <c r="T131" s="7">
        <f t="shared" ref="T131:T162" si="46">S131-L131</f>
        <v>0</v>
      </c>
      <c r="U131" s="5">
        <f t="shared" ref="U131:U162" si="47">MAX(L131,F131)-L131</f>
        <v>0</v>
      </c>
    </row>
    <row r="132" spans="1:21">
      <c r="A132" s="27" t="str">
        <f t="shared" si="37"/>
        <v>466</v>
      </c>
      <c r="B132" s="27">
        <f t="shared" si="38"/>
        <v>466</v>
      </c>
      <c r="C132" s="15" t="s">
        <v>140</v>
      </c>
      <c r="D132" s="128">
        <v>2872685.86</v>
      </c>
      <c r="E132" s="128">
        <v>156561.57</v>
      </c>
      <c r="F132" s="128">
        <f t="shared" si="39"/>
        <v>3029247.4299999997</v>
      </c>
      <c r="G132" s="206">
        <v>486</v>
      </c>
      <c r="H132" s="207">
        <f t="shared" si="31"/>
        <v>6233.0194032921809</v>
      </c>
      <c r="I132" s="182">
        <f t="shared" si="40"/>
        <v>1.7332964965035206E-3</v>
      </c>
      <c r="J132" s="5">
        <f>Calculations!AS132</f>
        <v>3728333.191525449</v>
      </c>
      <c r="K132" s="5">
        <f t="shared" si="41"/>
        <v>170956.93667679001</v>
      </c>
      <c r="L132" s="5">
        <f t="shared" si="42"/>
        <v>3899290.1282022391</v>
      </c>
      <c r="M132" s="119">
        <f>'Student Enrollment Data'!CK133</f>
        <v>562</v>
      </c>
      <c r="N132" s="5">
        <f t="shared" ref="N132:N175" si="48">L132/M132</f>
        <v>6938.2386622815638</v>
      </c>
      <c r="O132" s="248">
        <f>F132*('Front page'!$H$11+1)</f>
        <v>3120124.8528999998</v>
      </c>
      <c r="P132" s="250">
        <f>H132*('Front page'!$H$10+1)</f>
        <v>6544.67037345679</v>
      </c>
      <c r="Q132" s="250">
        <f t="shared" si="43"/>
        <v>3678104.7498827158</v>
      </c>
      <c r="R132" s="250">
        <f t="shared" si="44"/>
        <v>-221185.3783195233</v>
      </c>
      <c r="S132" s="7">
        <f t="shared" si="45"/>
        <v>3899290.1282022391</v>
      </c>
      <c r="T132" s="7">
        <f t="shared" si="46"/>
        <v>0</v>
      </c>
      <c r="U132" s="5">
        <f t="shared" si="47"/>
        <v>0</v>
      </c>
    </row>
    <row r="133" spans="1:21" ht="29.25">
      <c r="A133" s="27" t="str">
        <f t="shared" si="37"/>
        <v>468</v>
      </c>
      <c r="B133" s="27">
        <f t="shared" si="38"/>
        <v>468</v>
      </c>
      <c r="C133" s="15" t="s">
        <v>141</v>
      </c>
      <c r="D133" s="128">
        <v>1475481.81</v>
      </c>
      <c r="E133" s="128">
        <v>291593.78999999998</v>
      </c>
      <c r="F133" s="128">
        <f t="shared" si="39"/>
        <v>1767075.6</v>
      </c>
      <c r="G133" s="206">
        <v>219</v>
      </c>
      <c r="H133" s="207">
        <f t="shared" si="31"/>
        <v>8068.8383561643841</v>
      </c>
      <c r="I133" s="182">
        <f t="shared" si="40"/>
        <v>1.0110979764161613E-3</v>
      </c>
      <c r="J133" s="5">
        <f>Calculations!AS133</f>
        <v>2055612.2781185282</v>
      </c>
      <c r="K133" s="5">
        <f t="shared" si="41"/>
        <v>318404.96420912998</v>
      </c>
      <c r="L133" s="5">
        <f t="shared" si="42"/>
        <v>2374017.242327658</v>
      </c>
      <c r="M133" s="119">
        <f>'Student Enrollment Data'!CK134</f>
        <v>273</v>
      </c>
      <c r="N133" s="5">
        <f t="shared" si="48"/>
        <v>8696.0338546800667</v>
      </c>
      <c r="O133" s="248">
        <f>F133*('Front page'!$H$11+1)</f>
        <v>1820087.8680000002</v>
      </c>
      <c r="P133" s="250">
        <f>H133*('Front page'!$H$10+1)</f>
        <v>8472.280273972603</v>
      </c>
      <c r="Q133" s="250">
        <f t="shared" si="43"/>
        <v>2312932.5147945206</v>
      </c>
      <c r="R133" s="250">
        <f t="shared" si="44"/>
        <v>-61084.727533137426</v>
      </c>
      <c r="S133" s="7">
        <f t="shared" si="45"/>
        <v>2374017.242327658</v>
      </c>
      <c r="T133" s="7">
        <f t="shared" si="46"/>
        <v>0</v>
      </c>
      <c r="U133" s="5">
        <f t="shared" si="47"/>
        <v>0</v>
      </c>
    </row>
    <row r="134" spans="1:21">
      <c r="A134" s="27" t="str">
        <f t="shared" si="37"/>
        <v>469</v>
      </c>
      <c r="B134" s="27">
        <f t="shared" si="38"/>
        <v>469</v>
      </c>
      <c r="C134" s="15" t="s">
        <v>142</v>
      </c>
      <c r="D134" s="128">
        <v>1773625.17</v>
      </c>
      <c r="E134" s="128">
        <v>146558.71000000002</v>
      </c>
      <c r="F134" s="128">
        <f t="shared" si="39"/>
        <v>1920183.88</v>
      </c>
      <c r="G134" s="206">
        <v>191</v>
      </c>
      <c r="H134" s="207">
        <f t="shared" si="31"/>
        <v>10053.318743455497</v>
      </c>
      <c r="I134" s="182">
        <f t="shared" si="40"/>
        <v>1.0987045689584151E-3</v>
      </c>
      <c r="J134" s="5">
        <f>Calculations!AS134</f>
        <v>2062171.1474152203</v>
      </c>
      <c r="K134" s="5">
        <f t="shared" si="41"/>
        <v>160034.34370837003</v>
      </c>
      <c r="L134" s="5">
        <f t="shared" si="42"/>
        <v>2222205.4911235902</v>
      </c>
      <c r="M134" s="119">
        <f>'Student Enrollment Data'!CK135</f>
        <v>234.88725490196077</v>
      </c>
      <c r="N134" s="5">
        <f t="shared" si="48"/>
        <v>9460.7325205921152</v>
      </c>
      <c r="O134" s="248">
        <f>F134*('Front page'!$H$11+1)</f>
        <v>1977789.3964</v>
      </c>
      <c r="P134" s="250">
        <f>H134*('Front page'!$H$10+1)</f>
        <v>10555.984680628271</v>
      </c>
      <c r="Q134" s="250">
        <f t="shared" si="43"/>
        <v>2479466.2644199259</v>
      </c>
      <c r="R134" s="250">
        <f t="shared" si="44"/>
        <v>0</v>
      </c>
      <c r="S134" s="7">
        <f t="shared" si="45"/>
        <v>2222205.4911235902</v>
      </c>
      <c r="T134" s="7">
        <f t="shared" si="46"/>
        <v>0</v>
      </c>
      <c r="U134" s="5">
        <f t="shared" si="47"/>
        <v>0</v>
      </c>
    </row>
    <row r="135" spans="1:21">
      <c r="A135" s="27" t="str">
        <f t="shared" si="37"/>
        <v>470</v>
      </c>
      <c r="B135" s="27">
        <f t="shared" si="38"/>
        <v>470</v>
      </c>
      <c r="C135" s="15" t="s">
        <v>143</v>
      </c>
      <c r="D135" s="128">
        <v>1737284.21</v>
      </c>
      <c r="E135" s="128">
        <v>189244.12</v>
      </c>
      <c r="F135" s="128">
        <f t="shared" si="39"/>
        <v>1926528.33</v>
      </c>
      <c r="G135" s="206">
        <v>231</v>
      </c>
      <c r="H135" s="207">
        <f t="shared" si="31"/>
        <v>8339.9494805194809</v>
      </c>
      <c r="I135" s="182">
        <f t="shared" si="40"/>
        <v>1.1023347818120552E-3</v>
      </c>
      <c r="J135" s="5">
        <f>Calculations!AS135</f>
        <v>2516001.2058835481</v>
      </c>
      <c r="K135" s="5">
        <f t="shared" si="41"/>
        <v>206644.54910164</v>
      </c>
      <c r="L135" s="5">
        <f t="shared" si="42"/>
        <v>2722645.7549851881</v>
      </c>
      <c r="M135" s="119">
        <f>'Student Enrollment Data'!CK136</f>
        <v>312.89411764705881</v>
      </c>
      <c r="N135" s="5">
        <f t="shared" si="48"/>
        <v>8701.4922986065958</v>
      </c>
      <c r="O135" s="248">
        <f>F135*('Front page'!$H$11+1)</f>
        <v>1984324.1799000001</v>
      </c>
      <c r="P135" s="250">
        <f>H135*('Front page'!$H$10+1)</f>
        <v>8756.9469545454558</v>
      </c>
      <c r="Q135" s="250">
        <f t="shared" si="43"/>
        <v>2739997.1906245993</v>
      </c>
      <c r="R135" s="250">
        <f t="shared" si="44"/>
        <v>0</v>
      </c>
      <c r="S135" s="7">
        <f t="shared" si="45"/>
        <v>2722645.7549851881</v>
      </c>
      <c r="T135" s="7">
        <f t="shared" si="46"/>
        <v>0</v>
      </c>
      <c r="U135" s="5">
        <f t="shared" si="47"/>
        <v>0</v>
      </c>
    </row>
    <row r="136" spans="1:21">
      <c r="A136" s="27" t="str">
        <f t="shared" si="37"/>
        <v>472</v>
      </c>
      <c r="B136" s="27">
        <f t="shared" si="38"/>
        <v>472</v>
      </c>
      <c r="C136" s="15" t="s">
        <v>144</v>
      </c>
      <c r="D136" s="128">
        <v>1095666.06</v>
      </c>
      <c r="E136" s="128">
        <v>142463.31</v>
      </c>
      <c r="F136" s="128">
        <f t="shared" si="39"/>
        <v>1238129.3700000001</v>
      </c>
      <c r="G136" s="206">
        <v>179</v>
      </c>
      <c r="H136" s="207">
        <f t="shared" si="31"/>
        <v>6916.9238547486038</v>
      </c>
      <c r="I136" s="182">
        <f t="shared" si="40"/>
        <v>7.0844173308058612E-4</v>
      </c>
      <c r="J136" s="5">
        <f>Calculations!AS136</f>
        <v>1314213.802724093</v>
      </c>
      <c r="K136" s="5">
        <f t="shared" si="41"/>
        <v>155562.38396457001</v>
      </c>
      <c r="L136" s="5">
        <f t="shared" si="42"/>
        <v>1469776.186688663</v>
      </c>
      <c r="M136" s="119">
        <f>'Student Enrollment Data'!CK137</f>
        <v>171</v>
      </c>
      <c r="N136" s="5">
        <f t="shared" si="48"/>
        <v>8595.1823782962747</v>
      </c>
      <c r="O136" s="248">
        <f>F136*('Front page'!$H$11+1)</f>
        <v>1275273.2511000002</v>
      </c>
      <c r="P136" s="250">
        <f>H136*('Front page'!$H$10+1)</f>
        <v>7262.7700474860339</v>
      </c>
      <c r="Q136" s="250">
        <f t="shared" si="43"/>
        <v>1241933.6781201118</v>
      </c>
      <c r="R136" s="250">
        <f t="shared" si="44"/>
        <v>-227842.50856855116</v>
      </c>
      <c r="S136" s="7">
        <f t="shared" si="45"/>
        <v>1469776.186688663</v>
      </c>
      <c r="T136" s="7">
        <f t="shared" si="46"/>
        <v>0</v>
      </c>
      <c r="U136" s="5">
        <f t="shared" si="47"/>
        <v>0</v>
      </c>
    </row>
    <row r="137" spans="1:21">
      <c r="A137" s="27" t="str">
        <f t="shared" si="37"/>
        <v>473</v>
      </c>
      <c r="B137" s="27">
        <f t="shared" si="38"/>
        <v>473</v>
      </c>
      <c r="C137" s="15" t="s">
        <v>145</v>
      </c>
      <c r="D137" s="128">
        <v>1907624.61</v>
      </c>
      <c r="E137" s="128">
        <v>276980.99</v>
      </c>
      <c r="F137" s="128">
        <f t="shared" si="39"/>
        <v>2184605.6</v>
      </c>
      <c r="G137" s="206">
        <v>410.5</v>
      </c>
      <c r="H137" s="207">
        <f t="shared" si="31"/>
        <v>5321.8163215590748</v>
      </c>
      <c r="I137" s="182">
        <f t="shared" si="40"/>
        <v>1.2500032830669008E-3</v>
      </c>
      <c r="J137" s="5">
        <f>Calculations!AS137</f>
        <v>2930473.928727915</v>
      </c>
      <c r="K137" s="5">
        <f t="shared" si="41"/>
        <v>302448.56108752999</v>
      </c>
      <c r="L137" s="5">
        <f t="shared" si="42"/>
        <v>3232922.4898154452</v>
      </c>
      <c r="M137" s="119">
        <f>'Student Enrollment Data'!CK138</f>
        <v>460.5</v>
      </c>
      <c r="N137" s="5">
        <f t="shared" si="48"/>
        <v>7020.461432823985</v>
      </c>
      <c r="O137" s="248">
        <f>F137*('Front page'!$H$11+1)</f>
        <v>2250143.7680000002</v>
      </c>
      <c r="P137" s="250">
        <f>H137*('Front page'!$H$10+1)</f>
        <v>5587.9071376370284</v>
      </c>
      <c r="Q137" s="250">
        <f t="shared" si="43"/>
        <v>2573231.2368818517</v>
      </c>
      <c r="R137" s="250">
        <f t="shared" si="44"/>
        <v>-659691.25293359347</v>
      </c>
      <c r="S137" s="7">
        <f t="shared" si="45"/>
        <v>3232922.4898154452</v>
      </c>
      <c r="T137" s="7">
        <f t="shared" si="46"/>
        <v>0</v>
      </c>
      <c r="U137" s="5">
        <f t="shared" si="47"/>
        <v>0</v>
      </c>
    </row>
    <row r="138" spans="1:21">
      <c r="A138" s="27" t="str">
        <f t="shared" si="37"/>
        <v>474</v>
      </c>
      <c r="B138" s="27">
        <f t="shared" si="38"/>
        <v>474</v>
      </c>
      <c r="C138" s="15" t="s">
        <v>146</v>
      </c>
      <c r="D138" s="128">
        <v>902464.55</v>
      </c>
      <c r="E138" s="128">
        <v>230210.53</v>
      </c>
      <c r="F138" s="128">
        <f t="shared" si="39"/>
        <v>1132675.08</v>
      </c>
      <c r="G138" s="206">
        <v>173</v>
      </c>
      <c r="H138" s="207">
        <f t="shared" si="31"/>
        <v>6547.2547976878614</v>
      </c>
      <c r="I138" s="182">
        <f t="shared" si="40"/>
        <v>6.4810214193722869E-4</v>
      </c>
      <c r="J138" s="5">
        <f>Calculations!AS138</f>
        <v>1473086.9528281922</v>
      </c>
      <c r="K138" s="5">
        <f t="shared" si="41"/>
        <v>251377.69760191001</v>
      </c>
      <c r="L138" s="5">
        <f t="shared" si="42"/>
        <v>1724464.6504301021</v>
      </c>
      <c r="M138" s="119">
        <f>'Student Enrollment Data'!CK139</f>
        <v>213.5</v>
      </c>
      <c r="N138" s="5">
        <f t="shared" si="48"/>
        <v>8077.1178006093778</v>
      </c>
      <c r="O138" s="248">
        <f>F138*('Front page'!$H$11+1)</f>
        <v>1166655.3324000002</v>
      </c>
      <c r="P138" s="250">
        <f>H138*('Front page'!$H$10+1)</f>
        <v>6874.6175375722551</v>
      </c>
      <c r="Q138" s="250">
        <f t="shared" si="43"/>
        <v>1467730.8442716764</v>
      </c>
      <c r="R138" s="250">
        <f t="shared" si="44"/>
        <v>-256733.80615842575</v>
      </c>
      <c r="S138" s="7">
        <f t="shared" si="45"/>
        <v>1724464.6504301021</v>
      </c>
      <c r="T138" s="7">
        <f t="shared" si="46"/>
        <v>0</v>
      </c>
      <c r="U138" s="5">
        <f t="shared" si="47"/>
        <v>0</v>
      </c>
    </row>
    <row r="139" spans="1:21">
      <c r="A139" s="27" t="str">
        <f t="shared" si="37"/>
        <v>475</v>
      </c>
      <c r="B139" s="27">
        <f t="shared" si="38"/>
        <v>475</v>
      </c>
      <c r="C139" s="15" t="s">
        <v>147</v>
      </c>
      <c r="D139" s="128">
        <v>5227179.96</v>
      </c>
      <c r="E139" s="128">
        <v>829067.59000000008</v>
      </c>
      <c r="F139" s="128">
        <f t="shared" si="39"/>
        <v>6056247.5499999998</v>
      </c>
      <c r="G139" s="206">
        <v>965.5</v>
      </c>
      <c r="H139" s="207">
        <f t="shared" si="31"/>
        <v>6272.6541170378041</v>
      </c>
      <c r="I139" s="182">
        <f t="shared" si="40"/>
        <v>3.4653071110711583E-3</v>
      </c>
      <c r="J139" s="5">
        <f>Calculations!AS139</f>
        <v>5733534.0226372145</v>
      </c>
      <c r="K139" s="5">
        <f t="shared" si="41"/>
        <v>905297.86769773008</v>
      </c>
      <c r="L139" s="5">
        <f t="shared" si="42"/>
        <v>6638831.8903349442</v>
      </c>
      <c r="M139" s="119">
        <f>'Student Enrollment Data'!CK140</f>
        <v>956.5</v>
      </c>
      <c r="N139" s="5">
        <f t="shared" si="48"/>
        <v>6940.7547206847303</v>
      </c>
      <c r="O139" s="248">
        <f>F139*('Front page'!$H$11+1)</f>
        <v>6237934.9764999999</v>
      </c>
      <c r="P139" s="250">
        <f>H139*('Front page'!$H$10+1)</f>
        <v>6586.286822889695</v>
      </c>
      <c r="Q139" s="250">
        <f t="shared" si="43"/>
        <v>6299783.3460939936</v>
      </c>
      <c r="R139" s="250">
        <f t="shared" si="44"/>
        <v>-339048.54424095061</v>
      </c>
      <c r="S139" s="7">
        <f t="shared" si="45"/>
        <v>6638831.8903349442</v>
      </c>
      <c r="T139" s="7">
        <f t="shared" si="46"/>
        <v>0</v>
      </c>
      <c r="U139" s="5">
        <f t="shared" si="47"/>
        <v>0</v>
      </c>
    </row>
    <row r="140" spans="1:21">
      <c r="A140" s="27" t="str">
        <f t="shared" si="37"/>
        <v>476</v>
      </c>
      <c r="B140" s="27">
        <f t="shared" si="38"/>
        <v>476</v>
      </c>
      <c r="C140" s="15" t="s">
        <v>148</v>
      </c>
      <c r="D140" s="128">
        <v>3316890.47</v>
      </c>
      <c r="E140" s="128">
        <v>277436.02</v>
      </c>
      <c r="F140" s="128">
        <f t="shared" si="39"/>
        <v>3594326.49</v>
      </c>
      <c r="G140" s="206">
        <v>509.5</v>
      </c>
      <c r="H140" s="207">
        <f t="shared" si="31"/>
        <v>7054.6152894995093</v>
      </c>
      <c r="I140" s="182">
        <f t="shared" si="40"/>
        <v>2.0566274813697862E-3</v>
      </c>
      <c r="J140" s="5">
        <f>Calculations!AS140</f>
        <v>3842821.0541660786</v>
      </c>
      <c r="K140" s="5">
        <f t="shared" si="41"/>
        <v>302945.42973094003</v>
      </c>
      <c r="L140" s="5">
        <f t="shared" si="42"/>
        <v>4145766.4838970187</v>
      </c>
      <c r="M140" s="119">
        <f>'Student Enrollment Data'!CK141</f>
        <v>535.61176470588236</v>
      </c>
      <c r="N140" s="5">
        <f t="shared" si="48"/>
        <v>7740.2453737616488</v>
      </c>
      <c r="O140" s="248">
        <f>F140*('Front page'!$H$11+1)</f>
        <v>3702156.2847000002</v>
      </c>
      <c r="P140" s="250">
        <f>H140*('Front page'!$H$10+1)</f>
        <v>7407.3460539744847</v>
      </c>
      <c r="Q140" s="250">
        <f t="shared" si="43"/>
        <v>3967461.6917564278</v>
      </c>
      <c r="R140" s="250">
        <f t="shared" si="44"/>
        <v>-178304.79214059096</v>
      </c>
      <c r="S140" s="7">
        <f t="shared" si="45"/>
        <v>4145766.4838970187</v>
      </c>
      <c r="T140" s="7">
        <f t="shared" si="46"/>
        <v>0</v>
      </c>
      <c r="U140" s="5">
        <f t="shared" si="47"/>
        <v>0</v>
      </c>
    </row>
    <row r="141" spans="1:21" ht="29.25">
      <c r="A141" s="27" t="str">
        <f t="shared" si="37"/>
        <v>477</v>
      </c>
      <c r="B141" s="27">
        <f t="shared" si="38"/>
        <v>477</v>
      </c>
      <c r="C141" s="15" t="s">
        <v>149</v>
      </c>
      <c r="D141" s="128">
        <v>2745025.6399999997</v>
      </c>
      <c r="E141" s="128">
        <v>389751.51</v>
      </c>
      <c r="F141" s="128">
        <f t="shared" si="39"/>
        <v>3134777.1499999994</v>
      </c>
      <c r="G141" s="206">
        <v>562</v>
      </c>
      <c r="H141" s="207">
        <f t="shared" si="31"/>
        <v>5577.895284697508</v>
      </c>
      <c r="I141" s="182">
        <f t="shared" si="40"/>
        <v>1.7936792477246703E-3</v>
      </c>
      <c r="J141" s="5">
        <f>Calculations!AS141</f>
        <v>3662052.3551547322</v>
      </c>
      <c r="K141" s="5">
        <f t="shared" si="41"/>
        <v>425587.99208997004</v>
      </c>
      <c r="L141" s="5">
        <f t="shared" si="42"/>
        <v>4087640.3472447023</v>
      </c>
      <c r="M141" s="119">
        <f>'Student Enrollment Data'!CK142</f>
        <v>591</v>
      </c>
      <c r="N141" s="5">
        <f t="shared" si="48"/>
        <v>6916.4811290096486</v>
      </c>
      <c r="O141" s="248">
        <f>F141*('Front page'!$H$11+1)</f>
        <v>3228820.4644999993</v>
      </c>
      <c r="P141" s="250">
        <f>H141*('Front page'!$H$10+1)</f>
        <v>5856.7900489323838</v>
      </c>
      <c r="Q141" s="250">
        <f t="shared" si="43"/>
        <v>3461362.918919039</v>
      </c>
      <c r="R141" s="250">
        <f t="shared" si="44"/>
        <v>-626277.42832566332</v>
      </c>
      <c r="S141" s="7">
        <f t="shared" si="45"/>
        <v>4087640.3472447023</v>
      </c>
      <c r="T141" s="7">
        <f t="shared" si="46"/>
        <v>0</v>
      </c>
      <c r="U141" s="5">
        <f t="shared" si="47"/>
        <v>0</v>
      </c>
    </row>
    <row r="142" spans="1:21">
      <c r="A142" s="27" t="str">
        <f t="shared" si="37"/>
        <v>478</v>
      </c>
      <c r="B142" s="27">
        <f t="shared" si="38"/>
        <v>478</v>
      </c>
      <c r="C142" s="15" t="s">
        <v>150</v>
      </c>
      <c r="D142" s="128">
        <v>1734553.25</v>
      </c>
      <c r="E142" s="128">
        <v>283268.42000000004</v>
      </c>
      <c r="F142" s="128">
        <f t="shared" si="39"/>
        <v>2017821.67</v>
      </c>
      <c r="G142" s="206">
        <v>301</v>
      </c>
      <c r="H142" s="207">
        <f t="shared" si="31"/>
        <v>6703.726478405315</v>
      </c>
      <c r="I142" s="182">
        <f t="shared" si="40"/>
        <v>1.1545716591331344E-3</v>
      </c>
      <c r="J142" s="5">
        <f>Calculations!AS142</f>
        <v>2048183.553594827</v>
      </c>
      <c r="K142" s="5">
        <f t="shared" si="41"/>
        <v>309314.10141374002</v>
      </c>
      <c r="L142" s="5">
        <f t="shared" si="42"/>
        <v>2357497.655008567</v>
      </c>
      <c r="M142" s="119">
        <f>'Student Enrollment Data'!CK143</f>
        <v>287</v>
      </c>
      <c r="N142" s="5">
        <f t="shared" si="48"/>
        <v>8214.2775435838576</v>
      </c>
      <c r="O142" s="248">
        <f>F142*('Front page'!$H$11+1)</f>
        <v>2078356.3200999999</v>
      </c>
      <c r="P142" s="250">
        <f>H142*('Front page'!$H$10+1)</f>
        <v>7038.9128023255807</v>
      </c>
      <c r="Q142" s="250">
        <f t="shared" si="43"/>
        <v>2020167.9742674418</v>
      </c>
      <c r="R142" s="250">
        <f t="shared" si="44"/>
        <v>-337329.68074112525</v>
      </c>
      <c r="S142" s="7">
        <f t="shared" si="45"/>
        <v>2357497.655008567</v>
      </c>
      <c r="T142" s="7">
        <f t="shared" si="46"/>
        <v>0</v>
      </c>
      <c r="U142" s="5">
        <f t="shared" si="47"/>
        <v>0</v>
      </c>
    </row>
    <row r="143" spans="1:21">
      <c r="A143" s="27" t="str">
        <f t="shared" si="37"/>
        <v>479</v>
      </c>
      <c r="B143" s="27">
        <f t="shared" si="38"/>
        <v>479</v>
      </c>
      <c r="C143" s="15" t="s">
        <v>151</v>
      </c>
      <c r="D143" s="128">
        <v>1014513.16</v>
      </c>
      <c r="E143" s="128">
        <v>185915.58</v>
      </c>
      <c r="F143" s="128">
        <f t="shared" si="39"/>
        <v>1200428.74</v>
      </c>
      <c r="G143" s="206">
        <v>137</v>
      </c>
      <c r="H143" s="207">
        <f t="shared" si="31"/>
        <v>8762.2535766423352</v>
      </c>
      <c r="I143" s="182">
        <f t="shared" si="40"/>
        <v>6.8686991651392964E-4</v>
      </c>
      <c r="J143" s="5">
        <f>Calculations!AS143</f>
        <v>1395742.1253051052</v>
      </c>
      <c r="K143" s="5">
        <f t="shared" si="41"/>
        <v>203009.95983425999</v>
      </c>
      <c r="L143" s="5">
        <f t="shared" si="42"/>
        <v>1598752.0851393652</v>
      </c>
      <c r="M143" s="119">
        <f>'Student Enrollment Data'!CK144</f>
        <v>161</v>
      </c>
      <c r="N143" s="5">
        <f t="shared" si="48"/>
        <v>9930.1371747786652</v>
      </c>
      <c r="O143" s="248">
        <f>F143*('Front page'!$H$11+1)</f>
        <v>1236441.6022000001</v>
      </c>
      <c r="P143" s="250">
        <f>H143*('Front page'!$H$10+1)</f>
        <v>9200.3662554744533</v>
      </c>
      <c r="Q143" s="250">
        <f t="shared" si="43"/>
        <v>1481258.967131387</v>
      </c>
      <c r="R143" s="250">
        <f t="shared" si="44"/>
        <v>-117493.11800797819</v>
      </c>
      <c r="S143" s="7">
        <f t="shared" si="45"/>
        <v>1598752.0851393652</v>
      </c>
      <c r="T143" s="7">
        <f t="shared" si="46"/>
        <v>0</v>
      </c>
      <c r="U143" s="5">
        <f t="shared" si="47"/>
        <v>0</v>
      </c>
    </row>
    <row r="144" spans="1:21">
      <c r="A144" s="27" t="str">
        <f t="shared" si="37"/>
        <v>480</v>
      </c>
      <c r="B144" s="27">
        <f t="shared" si="38"/>
        <v>480</v>
      </c>
      <c r="C144" s="15" t="s">
        <v>152</v>
      </c>
      <c r="D144" s="128">
        <v>2582432.27</v>
      </c>
      <c r="E144" s="128">
        <v>313286.26</v>
      </c>
      <c r="F144" s="128">
        <f t="shared" si="39"/>
        <v>2895718.5300000003</v>
      </c>
      <c r="G144" s="206">
        <v>463</v>
      </c>
      <c r="H144" s="207">
        <f t="shared" si="31"/>
        <v>6254.251684665227</v>
      </c>
      <c r="I144" s="182">
        <f t="shared" si="40"/>
        <v>1.6568929738794318E-3</v>
      </c>
      <c r="J144" s="5">
        <f>Calculations!AS144</f>
        <v>3239168.3854500419</v>
      </c>
      <c r="K144" s="5">
        <f t="shared" si="41"/>
        <v>342091.99174822</v>
      </c>
      <c r="L144" s="5">
        <f t="shared" si="42"/>
        <v>3581260.3771982617</v>
      </c>
      <c r="M144" s="119">
        <f>'Student Enrollment Data'!CK145</f>
        <v>504.5</v>
      </c>
      <c r="N144" s="5">
        <f t="shared" si="48"/>
        <v>7098.6330568845624</v>
      </c>
      <c r="O144" s="248">
        <f>F144*('Front page'!$H$11+1)</f>
        <v>2982590.0859000003</v>
      </c>
      <c r="P144" s="250">
        <f>H144*('Front page'!$H$10+1)</f>
        <v>6566.9642688984886</v>
      </c>
      <c r="Q144" s="250">
        <f t="shared" si="43"/>
        <v>3313033.4736592877</v>
      </c>
      <c r="R144" s="250">
        <f t="shared" si="44"/>
        <v>-268226.903538974</v>
      </c>
      <c r="S144" s="7">
        <f t="shared" si="45"/>
        <v>3581260.3771982617</v>
      </c>
      <c r="T144" s="7">
        <f t="shared" si="46"/>
        <v>0</v>
      </c>
      <c r="U144" s="5">
        <f t="shared" si="47"/>
        <v>0</v>
      </c>
    </row>
    <row r="145" spans="1:21">
      <c r="A145" s="27" t="str">
        <f t="shared" si="37"/>
        <v>481</v>
      </c>
      <c r="B145" s="27">
        <f t="shared" si="38"/>
        <v>481</v>
      </c>
      <c r="C145" s="15" t="s">
        <v>153</v>
      </c>
      <c r="D145" s="128">
        <v>2618401.09</v>
      </c>
      <c r="E145" s="128">
        <v>498108.02999999997</v>
      </c>
      <c r="F145" s="128">
        <f t="shared" si="39"/>
        <v>3116509.1199999996</v>
      </c>
      <c r="G145" s="206">
        <v>484</v>
      </c>
      <c r="H145" s="207">
        <f t="shared" si="31"/>
        <v>6439.0684297520656</v>
      </c>
      <c r="I145" s="182">
        <f t="shared" si="40"/>
        <v>1.7832265154442237E-3</v>
      </c>
      <c r="J145" s="5">
        <f>Calculations!AS145</f>
        <v>3022345.6474093203</v>
      </c>
      <c r="K145" s="5">
        <f t="shared" si="41"/>
        <v>543907.56903440994</v>
      </c>
      <c r="L145" s="5">
        <f t="shared" si="42"/>
        <v>3566253.2164437305</v>
      </c>
      <c r="M145" s="119">
        <f>'Student Enrollment Data'!CK146</f>
        <v>463</v>
      </c>
      <c r="N145" s="5">
        <f t="shared" si="48"/>
        <v>7702.4907482585968</v>
      </c>
      <c r="O145" s="248">
        <f>F145*('Front page'!$H$11+1)</f>
        <v>3210004.3935999996</v>
      </c>
      <c r="P145" s="250">
        <f>H145*('Front page'!$H$10+1)</f>
        <v>6761.0218512396696</v>
      </c>
      <c r="Q145" s="250">
        <f t="shared" si="43"/>
        <v>3130353.117123967</v>
      </c>
      <c r="R145" s="250">
        <f t="shared" si="44"/>
        <v>-435900.09931976348</v>
      </c>
      <c r="S145" s="7">
        <f t="shared" si="45"/>
        <v>3566253.2164437305</v>
      </c>
      <c r="T145" s="7">
        <f t="shared" si="46"/>
        <v>0</v>
      </c>
      <c r="U145" s="5">
        <f t="shared" si="47"/>
        <v>0</v>
      </c>
    </row>
    <row r="146" spans="1:21">
      <c r="A146" s="27" t="str">
        <f t="shared" si="37"/>
        <v>482</v>
      </c>
      <c r="B146" s="27">
        <f t="shared" si="38"/>
        <v>482</v>
      </c>
      <c r="C146" s="15" t="s">
        <v>154</v>
      </c>
      <c r="D146" s="128">
        <v>1906007</v>
      </c>
      <c r="E146" s="128">
        <v>276667</v>
      </c>
      <c r="F146" s="128">
        <f t="shared" si="39"/>
        <v>2182674</v>
      </c>
      <c r="G146" s="206">
        <v>315.5</v>
      </c>
      <c r="H146" s="207">
        <f t="shared" si="31"/>
        <v>6918.1426307448492</v>
      </c>
      <c r="I146" s="182">
        <f t="shared" si="40"/>
        <v>1.2488980463406139E-3</v>
      </c>
      <c r="J146" s="5">
        <f>Calculations!AS146</f>
        <v>2471507.8375406247</v>
      </c>
      <c r="K146" s="5">
        <f t="shared" si="41"/>
        <v>302105.70064900001</v>
      </c>
      <c r="L146" s="5">
        <f t="shared" si="42"/>
        <v>2773613.5381896244</v>
      </c>
      <c r="M146" s="119">
        <f>'Student Enrollment Data'!CK147</f>
        <v>339.5</v>
      </c>
      <c r="N146" s="5">
        <f t="shared" si="48"/>
        <v>8169.701143415683</v>
      </c>
      <c r="O146" s="248">
        <f>F146*('Front page'!$H$11+1)</f>
        <v>2248154.2200000002</v>
      </c>
      <c r="P146" s="250">
        <f>H146*('Front page'!$H$10+1)</f>
        <v>7264.0497622820922</v>
      </c>
      <c r="Q146" s="250">
        <f t="shared" si="43"/>
        <v>2466144.8942947704</v>
      </c>
      <c r="R146" s="250">
        <f t="shared" si="44"/>
        <v>-307468.643894854</v>
      </c>
      <c r="S146" s="7">
        <f t="shared" si="45"/>
        <v>2773613.5381896244</v>
      </c>
      <c r="T146" s="7">
        <f t="shared" si="46"/>
        <v>0</v>
      </c>
      <c r="U146" s="5">
        <f t="shared" si="47"/>
        <v>0</v>
      </c>
    </row>
    <row r="147" spans="1:21">
      <c r="A147" s="27" t="str">
        <f t="shared" si="37"/>
        <v>483</v>
      </c>
      <c r="B147" s="27">
        <f t="shared" si="38"/>
        <v>483</v>
      </c>
      <c r="C147" s="15" t="s">
        <v>155</v>
      </c>
      <c r="D147" s="128">
        <v>557158.34000000008</v>
      </c>
      <c r="E147" s="128">
        <v>192506.74</v>
      </c>
      <c r="F147" s="128">
        <f t="shared" si="39"/>
        <v>749665.08000000007</v>
      </c>
      <c r="G147" s="206">
        <v>78</v>
      </c>
      <c r="H147" s="207">
        <f t="shared" si="31"/>
        <v>9611.0907692307701</v>
      </c>
      <c r="I147" s="182">
        <f t="shared" si="40"/>
        <v>4.2894873619321079E-4</v>
      </c>
      <c r="J147" s="5">
        <f>Calculations!AS147</f>
        <v>703013.34665177518</v>
      </c>
      <c r="K147" s="5">
        <f t="shared" si="41"/>
        <v>210207.15722277999</v>
      </c>
      <c r="L147" s="5">
        <f t="shared" si="42"/>
        <v>913220.50387455523</v>
      </c>
      <c r="M147" s="119">
        <f>'Student Enrollment Data'!CK148</f>
        <v>77.5</v>
      </c>
      <c r="N147" s="5">
        <f t="shared" si="48"/>
        <v>11783.490372574906</v>
      </c>
      <c r="O147" s="248">
        <f>F147*('Front page'!$H$11+1)</f>
        <v>772155.03240000014</v>
      </c>
      <c r="P147" s="250">
        <f>H147*('Front page'!$H$10+1)</f>
        <v>10091.64530769231</v>
      </c>
      <c r="Q147" s="250">
        <f t="shared" si="43"/>
        <v>782102.51134615403</v>
      </c>
      <c r="R147" s="250">
        <f t="shared" si="44"/>
        <v>-131117.9925284012</v>
      </c>
      <c r="S147" s="7">
        <f t="shared" si="45"/>
        <v>913220.50387455523</v>
      </c>
      <c r="T147" s="7">
        <f t="shared" si="46"/>
        <v>0</v>
      </c>
      <c r="U147" s="5">
        <f t="shared" si="47"/>
        <v>0</v>
      </c>
    </row>
    <row r="148" spans="1:21">
      <c r="A148" s="27" t="str">
        <f t="shared" si="37"/>
        <v>485</v>
      </c>
      <c r="B148" s="27">
        <f t="shared" si="38"/>
        <v>485</v>
      </c>
      <c r="C148" s="15" t="s">
        <v>156</v>
      </c>
      <c r="D148" s="128">
        <v>882828.06</v>
      </c>
      <c r="E148" s="128">
        <v>310977.2</v>
      </c>
      <c r="F148" s="128">
        <f t="shared" si="39"/>
        <v>1193805.26</v>
      </c>
      <c r="G148" s="206">
        <v>120</v>
      </c>
      <c r="H148" s="207">
        <f t="shared" si="31"/>
        <v>9948.3771666666671</v>
      </c>
      <c r="I148" s="182">
        <f t="shared" si="40"/>
        <v>6.8308004627587481E-4</v>
      </c>
      <c r="J148" s="5">
        <f>Calculations!AS148</f>
        <v>1153924.6128561604</v>
      </c>
      <c r="K148" s="5">
        <f t="shared" si="41"/>
        <v>339570.62060840003</v>
      </c>
      <c r="L148" s="5">
        <f t="shared" si="42"/>
        <v>1493495.2334645605</v>
      </c>
      <c r="M148" s="119">
        <f>'Student Enrollment Data'!CK149</f>
        <v>118</v>
      </c>
      <c r="N148" s="5">
        <f t="shared" si="48"/>
        <v>12656.739266648818</v>
      </c>
      <c r="O148" s="248">
        <f>F148*('Front page'!$H$11+1)</f>
        <v>1229619.4177999999</v>
      </c>
      <c r="P148" s="250">
        <f>H148*('Front page'!$H$10+1)</f>
        <v>10445.796025000001</v>
      </c>
      <c r="Q148" s="250">
        <f t="shared" si="43"/>
        <v>1232603.9309500002</v>
      </c>
      <c r="R148" s="250">
        <f t="shared" si="44"/>
        <v>-260891.30251456029</v>
      </c>
      <c r="S148" s="7">
        <f t="shared" si="45"/>
        <v>1493495.2334645605</v>
      </c>
      <c r="T148" s="7">
        <f t="shared" si="46"/>
        <v>0</v>
      </c>
      <c r="U148" s="5">
        <f t="shared" si="47"/>
        <v>0</v>
      </c>
    </row>
    <row r="149" spans="1:21">
      <c r="A149" s="27" t="str">
        <f t="shared" si="37"/>
        <v>486</v>
      </c>
      <c r="B149" s="27">
        <f t="shared" si="38"/>
        <v>486</v>
      </c>
      <c r="C149" s="15" t="s">
        <v>157</v>
      </c>
      <c r="D149" s="128">
        <v>893402.33000000007</v>
      </c>
      <c r="E149" s="128">
        <v>132612.55000000002</v>
      </c>
      <c r="F149" s="128">
        <f t="shared" si="39"/>
        <v>1026014.8800000001</v>
      </c>
      <c r="G149" s="206">
        <v>107.5</v>
      </c>
      <c r="H149" s="207">
        <f t="shared" si="31"/>
        <v>9544.3244651162804</v>
      </c>
      <c r="I149" s="182">
        <f t="shared" si="40"/>
        <v>5.8707254457074191E-4</v>
      </c>
      <c r="J149" s="5">
        <f>Calculations!AS149</f>
        <v>863813.44285644486</v>
      </c>
      <c r="K149" s="5">
        <f t="shared" si="41"/>
        <v>144805.87613485003</v>
      </c>
      <c r="L149" s="5">
        <f t="shared" si="42"/>
        <v>1008619.3189912948</v>
      </c>
      <c r="M149" s="119">
        <f>'Student Enrollment Data'!CK150</f>
        <v>94.5</v>
      </c>
      <c r="N149" s="5">
        <f t="shared" si="48"/>
        <v>10673.220306786188</v>
      </c>
      <c r="O149" s="248">
        <f>F149*('Front page'!$H$11+1)</f>
        <v>1056795.3264000001</v>
      </c>
      <c r="P149" s="250">
        <f>H149*('Front page'!$H$10+1)</f>
        <v>10021.540688372095</v>
      </c>
      <c r="Q149" s="250">
        <f t="shared" si="43"/>
        <v>947035.59505116299</v>
      </c>
      <c r="R149" s="250">
        <f t="shared" si="44"/>
        <v>-61583.723940131837</v>
      </c>
      <c r="S149" s="7">
        <f t="shared" si="45"/>
        <v>1056795.3264000001</v>
      </c>
      <c r="T149" s="7">
        <f t="shared" si="46"/>
        <v>48176.007408705307</v>
      </c>
      <c r="U149" s="5">
        <f t="shared" si="47"/>
        <v>17395.561008705292</v>
      </c>
    </row>
    <row r="150" spans="1:21">
      <c r="A150" s="27" t="str">
        <f t="shared" si="37"/>
        <v>487</v>
      </c>
      <c r="B150" s="27">
        <f t="shared" si="38"/>
        <v>487</v>
      </c>
      <c r="C150" s="15" t="s">
        <v>158</v>
      </c>
      <c r="D150" s="128">
        <v>2392164.1300000004</v>
      </c>
      <c r="E150" s="128">
        <v>367874.22000000003</v>
      </c>
      <c r="F150" s="128">
        <f t="shared" si="39"/>
        <v>2760038.3500000006</v>
      </c>
      <c r="G150" s="206">
        <v>336</v>
      </c>
      <c r="H150" s="207">
        <f t="shared" si="31"/>
        <v>8214.3998511904774</v>
      </c>
      <c r="I150" s="182">
        <f t="shared" si="40"/>
        <v>1.5792585164528337E-3</v>
      </c>
      <c r="J150" s="5">
        <f>Calculations!AS150</f>
        <v>2633844.5004615085</v>
      </c>
      <c r="K150" s="5">
        <f t="shared" si="41"/>
        <v>401699.15090634004</v>
      </c>
      <c r="L150" s="5">
        <f t="shared" si="42"/>
        <v>3035543.6513678487</v>
      </c>
      <c r="M150" s="119">
        <f>'Student Enrollment Data'!CK151</f>
        <v>318</v>
      </c>
      <c r="N150" s="5">
        <f t="shared" si="48"/>
        <v>9545.734752729084</v>
      </c>
      <c r="O150" s="248">
        <f>F150*('Front page'!$H$11+1)</f>
        <v>2842839.5005000005</v>
      </c>
      <c r="P150" s="250">
        <f>H150*('Front page'!$H$10+1)</f>
        <v>8625.1198437500025</v>
      </c>
      <c r="Q150" s="250">
        <f t="shared" si="43"/>
        <v>2742788.110312501</v>
      </c>
      <c r="R150" s="250">
        <f t="shared" si="44"/>
        <v>-292755.54105534777</v>
      </c>
      <c r="S150" s="7">
        <f t="shared" si="45"/>
        <v>3035543.6513678487</v>
      </c>
      <c r="T150" s="7">
        <f t="shared" si="46"/>
        <v>0</v>
      </c>
      <c r="U150" s="5">
        <f t="shared" si="47"/>
        <v>0</v>
      </c>
    </row>
    <row r="151" spans="1:21">
      <c r="A151" s="27" t="str">
        <f t="shared" si="37"/>
        <v>488</v>
      </c>
      <c r="B151" s="27">
        <f t="shared" si="38"/>
        <v>488</v>
      </c>
      <c r="C151" s="15" t="s">
        <v>159</v>
      </c>
      <c r="D151" s="128">
        <v>737902.03</v>
      </c>
      <c r="E151" s="128">
        <v>120523.12</v>
      </c>
      <c r="F151" s="128">
        <f t="shared" si="39"/>
        <v>858425.15</v>
      </c>
      <c r="G151" s="206">
        <v>116</v>
      </c>
      <c r="H151" s="207">
        <f t="shared" si="31"/>
        <v>7400.2168103448275</v>
      </c>
      <c r="I151" s="182">
        <f t="shared" si="40"/>
        <v>4.9117985222009723E-4</v>
      </c>
      <c r="J151" s="5">
        <f>Calculations!AS151</f>
        <v>886192.87843747996</v>
      </c>
      <c r="K151" s="5">
        <f t="shared" si="41"/>
        <v>131604.85931463999</v>
      </c>
      <c r="L151" s="5">
        <f t="shared" si="42"/>
        <v>1017797.73775212</v>
      </c>
      <c r="M151" s="119">
        <f>'Student Enrollment Data'!CK152</f>
        <v>103.5</v>
      </c>
      <c r="N151" s="5">
        <f t="shared" si="48"/>
        <v>9833.7945676533327</v>
      </c>
      <c r="O151" s="248">
        <f>F151*('Front page'!$H$11+1)</f>
        <v>884177.90450000006</v>
      </c>
      <c r="P151" s="250">
        <f>H151*('Front page'!$H$10+1)</f>
        <v>7770.2276508620689</v>
      </c>
      <c r="Q151" s="250">
        <f t="shared" si="43"/>
        <v>804218.56186422415</v>
      </c>
      <c r="R151" s="250">
        <f t="shared" si="44"/>
        <v>-213579.17588789586</v>
      </c>
      <c r="S151" s="7">
        <f t="shared" si="45"/>
        <v>1017797.73775212</v>
      </c>
      <c r="T151" s="7">
        <f t="shared" si="46"/>
        <v>0</v>
      </c>
      <c r="U151" s="5">
        <f t="shared" si="47"/>
        <v>0</v>
      </c>
    </row>
    <row r="152" spans="1:21">
      <c r="A152" s="27" t="str">
        <f t="shared" si="37"/>
        <v>489</v>
      </c>
      <c r="B152" s="27">
        <f t="shared" si="38"/>
        <v>489</v>
      </c>
      <c r="C152" s="15" t="s">
        <v>160</v>
      </c>
      <c r="D152" s="128">
        <v>989729.71</v>
      </c>
      <c r="E152" s="128">
        <v>95333.6</v>
      </c>
      <c r="F152" s="128">
        <f t="shared" si="39"/>
        <v>1085063.31</v>
      </c>
      <c r="G152" s="206">
        <v>95</v>
      </c>
      <c r="H152" s="207">
        <f t="shared" si="31"/>
        <v>11421.719052631579</v>
      </c>
      <c r="I152" s="182">
        <f t="shared" si="40"/>
        <v>6.2085929828040285E-4</v>
      </c>
      <c r="J152" s="5">
        <f>Calculations!AS152</f>
        <v>1307888.9256425302</v>
      </c>
      <c r="K152" s="5">
        <f t="shared" si="41"/>
        <v>104099.23851920001</v>
      </c>
      <c r="L152" s="5">
        <f t="shared" si="42"/>
        <v>1411988.1641617301</v>
      </c>
      <c r="M152" s="119">
        <f>'Student Enrollment Data'!CK153</f>
        <v>136</v>
      </c>
      <c r="N152" s="5">
        <f t="shared" si="48"/>
        <v>10382.265912953897</v>
      </c>
      <c r="O152" s="248">
        <f>F152*('Front page'!$H$11+1)</f>
        <v>1117615.2093</v>
      </c>
      <c r="P152" s="250">
        <f>H152*('Front page'!$H$10+1)</f>
        <v>11992.805005263159</v>
      </c>
      <c r="Q152" s="250">
        <f t="shared" si="43"/>
        <v>1631021.4807157896</v>
      </c>
      <c r="R152" s="250">
        <f t="shared" si="44"/>
        <v>0</v>
      </c>
      <c r="S152" s="7">
        <f t="shared" si="45"/>
        <v>1411988.1641617301</v>
      </c>
      <c r="T152" s="7">
        <f t="shared" si="46"/>
        <v>0</v>
      </c>
      <c r="U152" s="5">
        <f t="shared" si="47"/>
        <v>0</v>
      </c>
    </row>
    <row r="153" spans="1:21">
      <c r="A153" s="27" t="str">
        <f t="shared" si="37"/>
        <v>490</v>
      </c>
      <c r="B153" s="27">
        <f t="shared" si="38"/>
        <v>490</v>
      </c>
      <c r="C153" s="15" t="s">
        <v>161</v>
      </c>
      <c r="D153" s="128">
        <v>3413945.59</v>
      </c>
      <c r="E153" s="128">
        <v>669644.07000000007</v>
      </c>
      <c r="F153" s="128">
        <f t="shared" si="39"/>
        <v>4083589.66</v>
      </c>
      <c r="G153" s="206">
        <v>509.5</v>
      </c>
      <c r="H153" s="207">
        <f t="shared" si="31"/>
        <v>8014.8962904808641</v>
      </c>
      <c r="I153" s="182">
        <f t="shared" si="40"/>
        <v>2.3365775871388638E-3</v>
      </c>
      <c r="J153" s="5">
        <f>Calculations!AS153</f>
        <v>3512350.6692247121</v>
      </c>
      <c r="K153" s="5">
        <f t="shared" si="41"/>
        <v>731215.83330429008</v>
      </c>
      <c r="L153" s="5">
        <f t="shared" si="42"/>
        <v>4243566.5025290018</v>
      </c>
      <c r="M153" s="119">
        <f>'Student Enrollment Data'!CK154</f>
        <v>451</v>
      </c>
      <c r="N153" s="5">
        <f t="shared" si="48"/>
        <v>9409.2383648093164</v>
      </c>
      <c r="O153" s="248">
        <f>F153*('Front page'!$H$11+1)</f>
        <v>4206097.3498</v>
      </c>
      <c r="P153" s="250">
        <f>H153*('Front page'!$H$10+1)</f>
        <v>8415.6411050049082</v>
      </c>
      <c r="Q153" s="250">
        <f t="shared" si="43"/>
        <v>3795454.1383572137</v>
      </c>
      <c r="R153" s="250">
        <f t="shared" si="44"/>
        <v>-448112.3641717881</v>
      </c>
      <c r="S153" s="7">
        <f t="shared" si="45"/>
        <v>4243566.5025290018</v>
      </c>
      <c r="T153" s="7">
        <f t="shared" si="46"/>
        <v>0</v>
      </c>
      <c r="U153" s="5">
        <f t="shared" si="47"/>
        <v>0</v>
      </c>
    </row>
    <row r="154" spans="1:21">
      <c r="A154" s="27" t="str">
        <f t="shared" si="37"/>
        <v>491</v>
      </c>
      <c r="B154" s="27">
        <f t="shared" si="38"/>
        <v>491</v>
      </c>
      <c r="C154" s="15" t="s">
        <v>162</v>
      </c>
      <c r="D154" s="128">
        <v>4263737.83</v>
      </c>
      <c r="E154" s="128">
        <v>472118.62</v>
      </c>
      <c r="F154" s="128">
        <f t="shared" si="39"/>
        <v>4735856.45</v>
      </c>
      <c r="G154" s="206">
        <v>706</v>
      </c>
      <c r="H154" s="207">
        <f t="shared" si="31"/>
        <v>6708.0119688385275</v>
      </c>
      <c r="I154" s="182">
        <f t="shared" si="40"/>
        <v>2.7097962719831708E-3</v>
      </c>
      <c r="J154" s="5">
        <f>Calculations!AS154</f>
        <v>4464546.8752989136</v>
      </c>
      <c r="K154" s="5">
        <f t="shared" si="41"/>
        <v>515528.51075313997</v>
      </c>
      <c r="L154" s="5">
        <f t="shared" si="42"/>
        <v>4980075.3860520534</v>
      </c>
      <c r="M154" s="119">
        <f>'Student Enrollment Data'!CK155</f>
        <v>687</v>
      </c>
      <c r="N154" s="5">
        <f t="shared" si="48"/>
        <v>7249.0180291878505</v>
      </c>
      <c r="O154" s="248">
        <f>F154*('Front page'!$H$11+1)</f>
        <v>4877932.1435000002</v>
      </c>
      <c r="P154" s="250">
        <f>H154*('Front page'!$H$10+1)</f>
        <v>7043.4125672804539</v>
      </c>
      <c r="Q154" s="250">
        <f t="shared" si="43"/>
        <v>4838824.4337216718</v>
      </c>
      <c r="R154" s="250">
        <f t="shared" si="44"/>
        <v>-141250.95233038161</v>
      </c>
      <c r="S154" s="7">
        <f t="shared" si="45"/>
        <v>4980075.3860520534</v>
      </c>
      <c r="T154" s="7">
        <f t="shared" si="46"/>
        <v>0</v>
      </c>
      <c r="U154" s="5">
        <f t="shared" si="47"/>
        <v>0</v>
      </c>
    </row>
    <row r="155" spans="1:21">
      <c r="A155" s="27" t="str">
        <f t="shared" si="37"/>
        <v>492</v>
      </c>
      <c r="B155" s="27">
        <f t="shared" si="38"/>
        <v>492</v>
      </c>
      <c r="C155" s="15" t="s">
        <v>163</v>
      </c>
      <c r="D155" s="128">
        <v>2029839.62</v>
      </c>
      <c r="E155" s="128">
        <v>250678.29</v>
      </c>
      <c r="F155" s="128">
        <f t="shared" si="39"/>
        <v>2280517.91</v>
      </c>
      <c r="G155" s="206">
        <v>351</v>
      </c>
      <c r="H155" s="207">
        <f t="shared" si="31"/>
        <v>6497.2020227920229</v>
      </c>
      <c r="I155" s="182">
        <f t="shared" si="40"/>
        <v>1.3048830757336094E-3</v>
      </c>
      <c r="J155" s="5">
        <f>Calculations!AS155</f>
        <v>2497109.4650364784</v>
      </c>
      <c r="K155" s="5">
        <f t="shared" si="41"/>
        <v>273727.40673063003</v>
      </c>
      <c r="L155" s="5">
        <f t="shared" si="42"/>
        <v>2770836.8717671083</v>
      </c>
      <c r="M155" s="119">
        <f>'Student Enrollment Data'!CK156</f>
        <v>354</v>
      </c>
      <c r="N155" s="5">
        <f t="shared" si="48"/>
        <v>7827.2228016020008</v>
      </c>
      <c r="O155" s="248">
        <f>F155*('Front page'!$H$11+1)</f>
        <v>2348933.4473000001</v>
      </c>
      <c r="P155" s="250">
        <f>H155*('Front page'!$H$10+1)</f>
        <v>6822.0621239316242</v>
      </c>
      <c r="Q155" s="250">
        <f t="shared" si="43"/>
        <v>2415009.9918717952</v>
      </c>
      <c r="R155" s="250">
        <f t="shared" si="44"/>
        <v>-355826.87989531318</v>
      </c>
      <c r="S155" s="7">
        <f t="shared" si="45"/>
        <v>2770836.8717671083</v>
      </c>
      <c r="T155" s="7">
        <f t="shared" si="46"/>
        <v>0</v>
      </c>
      <c r="U155" s="5">
        <f t="shared" si="47"/>
        <v>0</v>
      </c>
    </row>
    <row r="156" spans="1:21">
      <c r="A156" s="27" t="str">
        <f t="shared" si="37"/>
        <v>493</v>
      </c>
      <c r="B156" s="27">
        <f t="shared" si="38"/>
        <v>493</v>
      </c>
      <c r="C156" s="15" t="s">
        <v>164</v>
      </c>
      <c r="D156" s="128">
        <v>5252753.87</v>
      </c>
      <c r="E156" s="128">
        <v>811110.37</v>
      </c>
      <c r="F156" s="128">
        <f t="shared" si="39"/>
        <v>6063864.2400000002</v>
      </c>
      <c r="G156" s="206">
        <v>913</v>
      </c>
      <c r="H156" s="207">
        <f t="shared" si="31"/>
        <v>6641.6913910186204</v>
      </c>
      <c r="I156" s="182">
        <f t="shared" si="40"/>
        <v>3.4696652833225263E-3</v>
      </c>
      <c r="J156" s="5">
        <f>Calculations!AS156</f>
        <v>5794039.6388791911</v>
      </c>
      <c r="K156" s="5">
        <f t="shared" si="41"/>
        <v>885689.53519038996</v>
      </c>
      <c r="L156" s="5">
        <f t="shared" si="42"/>
        <v>6679729.1740695816</v>
      </c>
      <c r="M156" s="119">
        <f>'Student Enrollment Data'!CK157</f>
        <v>933</v>
      </c>
      <c r="N156" s="5">
        <f t="shared" si="48"/>
        <v>7159.4096185097333</v>
      </c>
      <c r="O156" s="248">
        <f>F156*('Front page'!$H$11+1)</f>
        <v>6245780.1672</v>
      </c>
      <c r="P156" s="250">
        <f>H156*('Front page'!$H$10+1)</f>
        <v>6973.7759605695519</v>
      </c>
      <c r="Q156" s="250">
        <f t="shared" si="43"/>
        <v>6506532.9712113915</v>
      </c>
      <c r="R156" s="250">
        <f t="shared" si="44"/>
        <v>-173196.20285819005</v>
      </c>
      <c r="S156" s="7">
        <f t="shared" si="45"/>
        <v>6679729.1740695816</v>
      </c>
      <c r="T156" s="7">
        <f t="shared" si="46"/>
        <v>0</v>
      </c>
      <c r="U156" s="5">
        <f t="shared" si="47"/>
        <v>0</v>
      </c>
    </row>
    <row r="157" spans="1:21">
      <c r="A157" s="27" t="str">
        <f t="shared" si="37"/>
        <v>494</v>
      </c>
      <c r="B157" s="27">
        <f t="shared" si="38"/>
        <v>494</v>
      </c>
      <c r="C157" s="15" t="s">
        <v>165</v>
      </c>
      <c r="D157" s="128">
        <v>1835136.75</v>
      </c>
      <c r="E157" s="128">
        <v>230276</v>
      </c>
      <c r="F157" s="128">
        <f t="shared" si="39"/>
        <v>2065412.75</v>
      </c>
      <c r="G157" s="206">
        <v>317</v>
      </c>
      <c r="H157" s="207">
        <f t="shared" si="31"/>
        <v>6515.4976340694002</v>
      </c>
      <c r="I157" s="182">
        <f t="shared" si="40"/>
        <v>1.1818026642375337E-3</v>
      </c>
      <c r="J157" s="5">
        <f>Calculations!AS157</f>
        <v>2282947.9488580255</v>
      </c>
      <c r="K157" s="5">
        <f t="shared" si="41"/>
        <v>251449.18737199999</v>
      </c>
      <c r="L157" s="5">
        <f t="shared" si="42"/>
        <v>2534397.1362300254</v>
      </c>
      <c r="M157" s="119">
        <f>'Student Enrollment Data'!CK158</f>
        <v>327</v>
      </c>
      <c r="N157" s="5">
        <f t="shared" si="48"/>
        <v>7750.4499578899859</v>
      </c>
      <c r="O157" s="248">
        <f>F157*('Front page'!$H$11+1)</f>
        <v>2127375.1324999998</v>
      </c>
      <c r="P157" s="250">
        <f>H157*('Front page'!$H$10+1)</f>
        <v>6841.2725157728701</v>
      </c>
      <c r="Q157" s="250">
        <f t="shared" si="43"/>
        <v>2237096.1126577286</v>
      </c>
      <c r="R157" s="250">
        <f t="shared" si="44"/>
        <v>-297301.02357229684</v>
      </c>
      <c r="S157" s="7">
        <f t="shared" si="45"/>
        <v>2534397.1362300254</v>
      </c>
      <c r="T157" s="7">
        <f t="shared" si="46"/>
        <v>0</v>
      </c>
      <c r="U157" s="5">
        <f t="shared" si="47"/>
        <v>0</v>
      </c>
    </row>
    <row r="158" spans="1:21">
      <c r="A158" s="27" t="str">
        <f t="shared" si="37"/>
        <v>495</v>
      </c>
      <c r="B158" s="27">
        <f t="shared" si="38"/>
        <v>495</v>
      </c>
      <c r="C158" s="15" t="s">
        <v>166</v>
      </c>
      <c r="D158" s="128">
        <v>1954000.74</v>
      </c>
      <c r="E158" s="128">
        <v>362128.69</v>
      </c>
      <c r="F158" s="128">
        <f t="shared" si="39"/>
        <v>2316129.4300000002</v>
      </c>
      <c r="G158" s="206">
        <v>385.5</v>
      </c>
      <c r="H158" s="207">
        <f t="shared" si="31"/>
        <v>6008.117846952011</v>
      </c>
      <c r="I158" s="182">
        <f t="shared" si="40"/>
        <v>1.3252595303737526E-3</v>
      </c>
      <c r="J158" s="5">
        <f>Calculations!AS158</f>
        <v>2761016.2431538692</v>
      </c>
      <c r="K158" s="5">
        <f t="shared" si="41"/>
        <v>395425.33665943</v>
      </c>
      <c r="L158" s="5">
        <f t="shared" si="42"/>
        <v>3156441.5798132992</v>
      </c>
      <c r="M158" s="119">
        <f>'Student Enrollment Data'!CK159</f>
        <v>434</v>
      </c>
      <c r="N158" s="5">
        <f t="shared" si="48"/>
        <v>7272.9068659292607</v>
      </c>
      <c r="O158" s="248">
        <f>F158*('Front page'!$H$11+1)</f>
        <v>2385613.3129000003</v>
      </c>
      <c r="P158" s="250">
        <f>H158*('Front page'!$H$10+1)</f>
        <v>6308.5237392996114</v>
      </c>
      <c r="Q158" s="250">
        <f t="shared" si="43"/>
        <v>2737899.3028560313</v>
      </c>
      <c r="R158" s="250">
        <f t="shared" si="44"/>
        <v>-418542.2769572679</v>
      </c>
      <c r="S158" s="7">
        <f t="shared" si="45"/>
        <v>3156441.5798132992</v>
      </c>
      <c r="T158" s="7">
        <f t="shared" si="46"/>
        <v>0</v>
      </c>
      <c r="U158" s="5">
        <f t="shared" si="47"/>
        <v>0</v>
      </c>
    </row>
    <row r="159" spans="1:21">
      <c r="A159" s="27" t="str">
        <f t="shared" si="37"/>
        <v>496</v>
      </c>
      <c r="B159" s="27">
        <f t="shared" si="38"/>
        <v>496</v>
      </c>
      <c r="C159" s="15" t="s">
        <v>167</v>
      </c>
      <c r="D159" s="128">
        <v>793653</v>
      </c>
      <c r="E159" s="128">
        <v>101447.63</v>
      </c>
      <c r="F159" s="128">
        <f t="shared" si="39"/>
        <v>895100.63</v>
      </c>
      <c r="G159" s="206">
        <v>131</v>
      </c>
      <c r="H159" s="207">
        <f t="shared" si="31"/>
        <v>6832.8292366412215</v>
      </c>
      <c r="I159" s="182">
        <f t="shared" si="40"/>
        <v>5.1216509111541748E-4</v>
      </c>
      <c r="J159" s="5">
        <f>Calculations!AS159</f>
        <v>1117346.1771196497</v>
      </c>
      <c r="K159" s="5">
        <f t="shared" si="41"/>
        <v>110775.43523561</v>
      </c>
      <c r="L159" s="5">
        <f t="shared" si="42"/>
        <v>1228121.6123552597</v>
      </c>
      <c r="M159" s="119">
        <f>'Student Enrollment Data'!CK160</f>
        <v>172</v>
      </c>
      <c r="N159" s="5">
        <f t="shared" si="48"/>
        <v>7140.2419322980213</v>
      </c>
      <c r="O159" s="248">
        <f>F159*('Front page'!$H$11+1)</f>
        <v>921953.64890000003</v>
      </c>
      <c r="P159" s="250">
        <f>H159*('Front page'!$H$10+1)</f>
        <v>7174.4706984732829</v>
      </c>
      <c r="Q159" s="250">
        <f t="shared" si="43"/>
        <v>1234008.9601374047</v>
      </c>
      <c r="R159" s="250">
        <f t="shared" si="44"/>
        <v>0</v>
      </c>
      <c r="S159" s="7">
        <f t="shared" si="45"/>
        <v>1228121.6123552597</v>
      </c>
      <c r="T159" s="7">
        <f t="shared" si="46"/>
        <v>0</v>
      </c>
      <c r="U159" s="5">
        <f t="shared" si="47"/>
        <v>0</v>
      </c>
    </row>
    <row r="160" spans="1:21">
      <c r="A160" s="27" t="str">
        <f t="shared" si="37"/>
        <v>497</v>
      </c>
      <c r="B160" s="27">
        <f t="shared" si="38"/>
        <v>497</v>
      </c>
      <c r="C160" s="15" t="s">
        <v>168</v>
      </c>
      <c r="D160" s="128">
        <v>964160.66999999993</v>
      </c>
      <c r="E160" s="128">
        <v>69946.06</v>
      </c>
      <c r="F160" s="128">
        <f t="shared" si="39"/>
        <v>1034106.73</v>
      </c>
      <c r="G160" s="206">
        <v>106</v>
      </c>
      <c r="H160" s="207">
        <f t="shared" si="31"/>
        <v>9755.7238679245274</v>
      </c>
      <c r="I160" s="182">
        <f t="shared" si="40"/>
        <v>5.9170259727503091E-4</v>
      </c>
      <c r="J160" s="5">
        <f>Calculations!AS160</f>
        <v>2359681.1398382019</v>
      </c>
      <c r="K160" s="5">
        <f t="shared" si="41"/>
        <v>76377.390378819997</v>
      </c>
      <c r="L160" s="5">
        <f t="shared" si="42"/>
        <v>2436058.5302170217</v>
      </c>
      <c r="M160" s="119">
        <f>'Student Enrollment Data'!CK161</f>
        <v>285</v>
      </c>
      <c r="N160" s="5">
        <f t="shared" si="48"/>
        <v>8547.5737902351648</v>
      </c>
      <c r="O160" s="248">
        <f>F160*('Front page'!$H$11+1)</f>
        <v>1065129.9319</v>
      </c>
      <c r="P160" s="250">
        <f>H160*('Front page'!$H$10+1)</f>
        <v>10243.510061320754</v>
      </c>
      <c r="Q160" s="250">
        <f t="shared" si="43"/>
        <v>2919400.3674764149</v>
      </c>
      <c r="R160" s="250">
        <f t="shared" si="44"/>
        <v>0</v>
      </c>
      <c r="S160" s="7">
        <f t="shared" si="45"/>
        <v>2436058.5302170217</v>
      </c>
      <c r="T160" s="7">
        <f t="shared" si="46"/>
        <v>0</v>
      </c>
      <c r="U160" s="5">
        <f t="shared" si="47"/>
        <v>0</v>
      </c>
    </row>
    <row r="161" spans="1:21">
      <c r="A161" s="193">
        <v>498</v>
      </c>
      <c r="B161">
        <f t="shared" si="38"/>
        <v>498</v>
      </c>
      <c r="C161" s="194" t="s">
        <v>592</v>
      </c>
      <c r="D161" s="128"/>
      <c r="E161" s="128"/>
      <c r="F161" s="128"/>
      <c r="G161" s="206"/>
      <c r="H161" s="207"/>
      <c r="I161" s="182"/>
      <c r="J161" s="5">
        <f>Calculations!AS161</f>
        <v>1521161.3831452844</v>
      </c>
      <c r="K161" s="5">
        <f t="shared" si="41"/>
        <v>0</v>
      </c>
      <c r="L161" s="5">
        <f t="shared" si="42"/>
        <v>1521161.3831452844</v>
      </c>
      <c r="M161" s="119">
        <f>'Student Enrollment Data'!CK162</f>
        <v>245</v>
      </c>
      <c r="N161" s="5">
        <f t="shared" si="48"/>
        <v>6208.8219720215693</v>
      </c>
      <c r="O161" s="248">
        <f>F161*('Front page'!$H$11+1)</f>
        <v>0</v>
      </c>
      <c r="P161" s="250">
        <f>H161*('Front page'!$H$10+1)</f>
        <v>0</v>
      </c>
      <c r="Q161" s="250">
        <f t="shared" si="43"/>
        <v>0</v>
      </c>
      <c r="R161" s="250">
        <f t="shared" si="44"/>
        <v>0</v>
      </c>
      <c r="S161" s="7">
        <f t="shared" si="45"/>
        <v>1521161.3831452844</v>
      </c>
      <c r="T161" s="7">
        <f t="shared" si="46"/>
        <v>0</v>
      </c>
      <c r="U161" s="5">
        <f t="shared" si="47"/>
        <v>0</v>
      </c>
    </row>
    <row r="162" spans="1:21">
      <c r="A162" s="193">
        <v>499</v>
      </c>
      <c r="B162">
        <f t="shared" si="38"/>
        <v>499</v>
      </c>
      <c r="C162" s="194" t="s">
        <v>593</v>
      </c>
      <c r="D162" s="128"/>
      <c r="E162" s="128"/>
      <c r="F162" s="128"/>
      <c r="G162" s="206"/>
      <c r="H162" s="207"/>
      <c r="I162" s="182"/>
      <c r="J162" s="5">
        <f>Calculations!AS162</f>
        <v>1339129.2614394708</v>
      </c>
      <c r="K162" s="5">
        <f t="shared" si="41"/>
        <v>0</v>
      </c>
      <c r="L162" s="5">
        <f t="shared" si="42"/>
        <v>1339129.2614394708</v>
      </c>
      <c r="M162" s="119">
        <f>'Student Enrollment Data'!CK163</f>
        <v>197</v>
      </c>
      <c r="N162" s="5">
        <f t="shared" si="48"/>
        <v>6797.6104641597503</v>
      </c>
      <c r="O162" s="248">
        <f>F162*('Front page'!$H$11+1)</f>
        <v>0</v>
      </c>
      <c r="P162" s="250">
        <f>H162*('Front page'!$H$10+1)</f>
        <v>0</v>
      </c>
      <c r="Q162" s="250">
        <f t="shared" si="43"/>
        <v>0</v>
      </c>
      <c r="R162" s="250">
        <f t="shared" si="44"/>
        <v>0</v>
      </c>
      <c r="S162" s="7">
        <f t="shared" si="45"/>
        <v>1339129.2614394708</v>
      </c>
      <c r="T162" s="7">
        <f t="shared" si="46"/>
        <v>0</v>
      </c>
      <c r="U162" s="5">
        <f t="shared" si="47"/>
        <v>0</v>
      </c>
    </row>
    <row r="163" spans="1:21">
      <c r="A163" s="193">
        <v>511</v>
      </c>
      <c r="B163">
        <f t="shared" si="38"/>
        <v>511</v>
      </c>
      <c r="C163" s="194" t="s">
        <v>594</v>
      </c>
      <c r="D163" s="128"/>
      <c r="E163" s="128"/>
      <c r="F163" s="128"/>
      <c r="G163" s="206"/>
      <c r="H163" s="207"/>
      <c r="I163" s="182"/>
      <c r="J163" s="5">
        <f>Calculations!AS163</f>
        <v>1552202.8697889866</v>
      </c>
      <c r="K163" s="5">
        <f t="shared" si="41"/>
        <v>0</v>
      </c>
      <c r="L163" s="5">
        <f t="shared" si="42"/>
        <v>1552202.8697889866</v>
      </c>
      <c r="M163" s="119">
        <f>'Student Enrollment Data'!CK164</f>
        <v>248.5</v>
      </c>
      <c r="N163" s="5">
        <f t="shared" si="48"/>
        <v>6246.2892144426023</v>
      </c>
      <c r="O163" s="248">
        <f>F163*('Front page'!$H$11+1)</f>
        <v>0</v>
      </c>
      <c r="P163" s="250">
        <f>H163*('Front page'!$H$10+1)</f>
        <v>0</v>
      </c>
      <c r="Q163" s="250">
        <f t="shared" ref="Q163:Q175" si="49">P163*M163</f>
        <v>0</v>
      </c>
      <c r="R163" s="250">
        <f t="shared" ref="R163:R175" si="50">IF(H163=0,0,IF(Q163&lt;L163,Q163-L163,0))</f>
        <v>0</v>
      </c>
      <c r="S163" s="7">
        <f t="shared" ref="S163:S175" si="51">MAX(O163,F163,L163)</f>
        <v>1552202.8697889866</v>
      </c>
      <c r="T163" s="7">
        <f t="shared" ref="T163:T175" si="52">S163-L163</f>
        <v>0</v>
      </c>
      <c r="U163" s="5">
        <f t="shared" ref="U163:U175" si="53">MAX(L163,F163)-L163</f>
        <v>0</v>
      </c>
    </row>
    <row r="164" spans="1:21">
      <c r="A164" s="193">
        <v>513</v>
      </c>
      <c r="B164">
        <f t="shared" si="38"/>
        <v>513</v>
      </c>
      <c r="C164" s="194" t="s">
        <v>595</v>
      </c>
      <c r="D164" s="128"/>
      <c r="E164" s="128"/>
      <c r="F164" s="128"/>
      <c r="G164" s="206"/>
      <c r="H164" s="207"/>
      <c r="I164" s="182"/>
      <c r="J164" s="5">
        <f>Calculations!AS164</f>
        <v>1751381.7536754911</v>
      </c>
      <c r="K164" s="5">
        <f t="shared" si="41"/>
        <v>0</v>
      </c>
      <c r="L164" s="5">
        <f t="shared" si="42"/>
        <v>1751381.7536754911</v>
      </c>
      <c r="M164" s="119">
        <f>'Student Enrollment Data'!CK165</f>
        <v>241.5</v>
      </c>
      <c r="N164" s="5">
        <f t="shared" si="48"/>
        <v>7252.0983589047246</v>
      </c>
      <c r="O164" s="248">
        <f>F164*('Front page'!$H$11+1)</f>
        <v>0</v>
      </c>
      <c r="P164" s="250">
        <f>H164*('Front page'!$H$10+1)</f>
        <v>0</v>
      </c>
      <c r="Q164" s="250">
        <f t="shared" si="49"/>
        <v>0</v>
      </c>
      <c r="R164" s="250">
        <f t="shared" si="50"/>
        <v>0</v>
      </c>
      <c r="S164" s="7">
        <f t="shared" si="51"/>
        <v>1751381.7536754911</v>
      </c>
      <c r="T164" s="7">
        <f t="shared" si="52"/>
        <v>0</v>
      </c>
      <c r="U164" s="5">
        <f t="shared" si="53"/>
        <v>0</v>
      </c>
    </row>
    <row r="165" spans="1:21">
      <c r="A165" s="193">
        <v>518</v>
      </c>
      <c r="B165">
        <f t="shared" si="38"/>
        <v>518</v>
      </c>
      <c r="C165" s="195" t="s">
        <v>596</v>
      </c>
      <c r="D165" s="128"/>
      <c r="E165" s="128"/>
      <c r="F165" s="128"/>
      <c r="G165" s="206"/>
      <c r="H165" s="207"/>
      <c r="I165" s="182"/>
      <c r="J165" s="5">
        <f>Calculations!AS165</f>
        <v>1835448.6895128307</v>
      </c>
      <c r="K165" s="5">
        <f t="shared" si="41"/>
        <v>0</v>
      </c>
      <c r="L165" s="5">
        <f t="shared" si="42"/>
        <v>1835448.6895128307</v>
      </c>
      <c r="M165" s="119">
        <f>'Student Enrollment Data'!CK166</f>
        <v>202</v>
      </c>
      <c r="N165" s="5">
        <f t="shared" si="48"/>
        <v>9086.3796510536176</v>
      </c>
      <c r="O165" s="248">
        <f>F165*('Front page'!$H$11+1)</f>
        <v>0</v>
      </c>
      <c r="P165" s="250">
        <f>H165*('Front page'!$H$10+1)</f>
        <v>0</v>
      </c>
      <c r="Q165" s="250">
        <f t="shared" si="49"/>
        <v>0</v>
      </c>
      <c r="R165" s="250">
        <f t="shared" si="50"/>
        <v>0</v>
      </c>
      <c r="S165" s="7">
        <f t="shared" si="51"/>
        <v>1835448.6895128307</v>
      </c>
      <c r="T165" s="7">
        <f t="shared" si="52"/>
        <v>0</v>
      </c>
      <c r="U165" s="5">
        <f t="shared" si="53"/>
        <v>0</v>
      </c>
    </row>
    <row r="166" spans="1:21">
      <c r="A166" t="str">
        <f t="shared" ref="A166" si="54">RIGHT(C166,3)</f>
        <v>555</v>
      </c>
      <c r="B166">
        <f t="shared" si="38"/>
        <v>555</v>
      </c>
      <c r="C166" s="15" t="s">
        <v>169</v>
      </c>
      <c r="D166" s="128">
        <v>1029069.7599999999</v>
      </c>
      <c r="E166" s="128">
        <v>213112.71</v>
      </c>
      <c r="F166" s="128">
        <f t="shared" si="39"/>
        <v>1242182.47</v>
      </c>
      <c r="G166" s="206">
        <v>120</v>
      </c>
      <c r="H166" s="207">
        <f t="shared" ref="H166:H175" si="55">SUM(F166/G166)</f>
        <v>10351.520583333333</v>
      </c>
      <c r="I166" s="182">
        <f t="shared" si="40"/>
        <v>7.1076086487563341E-4</v>
      </c>
      <c r="J166" s="5">
        <f>Calculations!AS166</f>
        <v>1297492.8324370405</v>
      </c>
      <c r="K166" s="5">
        <f t="shared" si="41"/>
        <v>232707.78434637</v>
      </c>
      <c r="L166" s="5">
        <f t="shared" si="42"/>
        <v>1530200.6167834105</v>
      </c>
      <c r="M166" s="119">
        <f>'Student Enrollment Data'!CK167</f>
        <v>134.89950980392157</v>
      </c>
      <c r="N166" s="5">
        <f t="shared" si="48"/>
        <v>11343.262988928424</v>
      </c>
      <c r="O166" s="248">
        <f>F166*('Front page'!$H$11+1)</f>
        <v>1279447.9441</v>
      </c>
      <c r="P166" s="250">
        <f>H166*('Front page'!$H$10+1)</f>
        <v>10869.0966125</v>
      </c>
      <c r="Q166" s="250">
        <f t="shared" si="49"/>
        <v>1466235.8050377145</v>
      </c>
      <c r="R166" s="250">
        <f t="shared" si="50"/>
        <v>-63964.811745696003</v>
      </c>
      <c r="S166" s="7">
        <f t="shared" si="51"/>
        <v>1530200.6167834105</v>
      </c>
      <c r="T166" s="7">
        <f t="shared" si="52"/>
        <v>0</v>
      </c>
      <c r="U166" s="5">
        <f t="shared" si="53"/>
        <v>0</v>
      </c>
    </row>
    <row r="167" spans="1:21">
      <c r="A167" s="27" t="str">
        <f t="shared" si="37"/>
        <v>559</v>
      </c>
      <c r="B167" s="27">
        <f t="shared" si="38"/>
        <v>559</v>
      </c>
      <c r="C167" s="15" t="s">
        <v>170</v>
      </c>
      <c r="D167" s="128">
        <v>2579401.7299999995</v>
      </c>
      <c r="E167" s="128">
        <v>455269.75</v>
      </c>
      <c r="F167" s="128">
        <f t="shared" si="39"/>
        <v>3034671.4799999995</v>
      </c>
      <c r="G167" s="206">
        <v>362</v>
      </c>
      <c r="H167" s="207">
        <f t="shared" si="55"/>
        <v>8383.0703867403299</v>
      </c>
      <c r="I167" s="182">
        <f t="shared" si="40"/>
        <v>1.7364000682912697E-3</v>
      </c>
      <c r="J167" s="5">
        <f>Calculations!AS167</f>
        <v>2865542.1365362369</v>
      </c>
      <c r="K167" s="5">
        <f t="shared" si="41"/>
        <v>497130.43770324998</v>
      </c>
      <c r="L167" s="5">
        <f t="shared" si="42"/>
        <v>3362672.5742394868</v>
      </c>
      <c r="M167" s="119">
        <f>'Student Enrollment Data'!CK168</f>
        <v>370</v>
      </c>
      <c r="N167" s="5">
        <f t="shared" si="48"/>
        <v>9088.3042547013156</v>
      </c>
      <c r="O167" s="248">
        <f>F167*('Front page'!$H$11+1)</f>
        <v>3125711.6243999996</v>
      </c>
      <c r="P167" s="250">
        <f>H167*('Front page'!$H$10+1)</f>
        <v>8802.2239060773463</v>
      </c>
      <c r="Q167" s="250">
        <f t="shared" si="49"/>
        <v>3256822.8452486182</v>
      </c>
      <c r="R167" s="250">
        <f t="shared" si="50"/>
        <v>-105849.72899086867</v>
      </c>
      <c r="S167" s="7">
        <f t="shared" si="51"/>
        <v>3362672.5742394868</v>
      </c>
      <c r="T167" s="7">
        <f t="shared" si="52"/>
        <v>0</v>
      </c>
      <c r="U167" s="5">
        <f t="shared" si="53"/>
        <v>0</v>
      </c>
    </row>
    <row r="168" spans="1:21">
      <c r="A168" s="27" t="str">
        <f t="shared" si="37"/>
        <v>751</v>
      </c>
      <c r="B168" s="27">
        <f t="shared" si="38"/>
        <v>751</v>
      </c>
      <c r="C168" s="15" t="s">
        <v>171</v>
      </c>
      <c r="D168" s="128">
        <v>1634015.1099999999</v>
      </c>
      <c r="E168" s="128">
        <v>150942.64000000001</v>
      </c>
      <c r="F168" s="128">
        <f t="shared" si="39"/>
        <v>1784957.75</v>
      </c>
      <c r="G168" s="206">
        <v>204</v>
      </c>
      <c r="H168" s="207">
        <f t="shared" si="55"/>
        <v>8749.7928921568619</v>
      </c>
      <c r="I168" s="182">
        <f t="shared" si="40"/>
        <v>1.0213299131137028E-3</v>
      </c>
      <c r="J168" s="5">
        <f>Calculations!AS168</f>
        <v>1804223.7122142469</v>
      </c>
      <c r="K168" s="5">
        <f t="shared" si="41"/>
        <v>164821.36292008002</v>
      </c>
      <c r="L168" s="5">
        <f t="shared" si="42"/>
        <v>1969045.0751343269</v>
      </c>
      <c r="M168" s="119">
        <f>'Student Enrollment Data'!CK169</f>
        <v>199</v>
      </c>
      <c r="N168" s="5">
        <f t="shared" si="48"/>
        <v>9894.6988700217426</v>
      </c>
      <c r="O168" s="248">
        <f>F168*('Front page'!$H$11+1)</f>
        <v>1838506.4825000002</v>
      </c>
      <c r="P168" s="250">
        <f>H168*('Front page'!$H$10+1)</f>
        <v>9187.2825367647056</v>
      </c>
      <c r="Q168" s="250">
        <f t="shared" si="49"/>
        <v>1828269.2248161763</v>
      </c>
      <c r="R168" s="250">
        <f t="shared" si="50"/>
        <v>-140775.85031815059</v>
      </c>
      <c r="S168" s="7">
        <f t="shared" si="51"/>
        <v>1969045.0751343269</v>
      </c>
      <c r="T168" s="7">
        <f t="shared" si="52"/>
        <v>0</v>
      </c>
      <c r="U168" s="5">
        <f t="shared" si="53"/>
        <v>0</v>
      </c>
    </row>
    <row r="169" spans="1:21">
      <c r="A169" s="27" t="str">
        <f t="shared" si="37"/>
        <v>768</v>
      </c>
      <c r="B169" s="27">
        <f t="shared" si="38"/>
        <v>768</v>
      </c>
      <c r="C169" s="15" t="s">
        <v>172</v>
      </c>
      <c r="D169" s="128">
        <v>1746079</v>
      </c>
      <c r="E169" s="128">
        <v>191218</v>
      </c>
      <c r="F169" s="128">
        <f t="shared" si="39"/>
        <v>1937297</v>
      </c>
      <c r="G169" s="206">
        <v>201</v>
      </c>
      <c r="H169" s="207">
        <f t="shared" si="55"/>
        <v>9638.2935323383081</v>
      </c>
      <c r="I169" s="182">
        <f t="shared" si="40"/>
        <v>1.1084964765611046E-3</v>
      </c>
      <c r="J169" s="5">
        <f>Calculations!AS169</f>
        <v>1801302.414288834</v>
      </c>
      <c r="K169" s="5">
        <f t="shared" si="41"/>
        <v>208799.92144599999</v>
      </c>
      <c r="L169" s="5">
        <f t="shared" si="42"/>
        <v>2010102.335734834</v>
      </c>
      <c r="M169" s="119">
        <f>'Student Enrollment Data'!CK170</f>
        <v>200</v>
      </c>
      <c r="N169" s="5">
        <f t="shared" si="48"/>
        <v>10050.511678674169</v>
      </c>
      <c r="O169" s="248">
        <f>F169*('Front page'!$H$11+1)</f>
        <v>1995415.9100000001</v>
      </c>
      <c r="P169" s="250">
        <f>H169*('Front page'!$H$10+1)</f>
        <v>10120.208208955224</v>
      </c>
      <c r="Q169" s="250">
        <f t="shared" si="49"/>
        <v>2024041.6417910447</v>
      </c>
      <c r="R169" s="250">
        <f t="shared" si="50"/>
        <v>0</v>
      </c>
      <c r="S169" s="7">
        <f t="shared" si="51"/>
        <v>2010102.335734834</v>
      </c>
      <c r="T169" s="7">
        <f t="shared" si="52"/>
        <v>0</v>
      </c>
      <c r="U169" s="5">
        <f t="shared" si="53"/>
        <v>0</v>
      </c>
    </row>
    <row r="170" spans="1:21">
      <c r="A170" s="27" t="str">
        <f t="shared" si="37"/>
        <v>785</v>
      </c>
      <c r="B170" s="27">
        <f t="shared" si="38"/>
        <v>785</v>
      </c>
      <c r="C170" s="15" t="s">
        <v>173</v>
      </c>
      <c r="D170" s="128">
        <v>1667972.15</v>
      </c>
      <c r="E170" s="128">
        <v>196356.32</v>
      </c>
      <c r="F170" s="128">
        <f t="shared" si="39"/>
        <v>1864328.47</v>
      </c>
      <c r="G170" s="206">
        <v>193</v>
      </c>
      <c r="H170" s="207">
        <f t="shared" si="55"/>
        <v>9659.7330051813478</v>
      </c>
      <c r="I170" s="182">
        <f t="shared" si="40"/>
        <v>1.0667448203076529E-3</v>
      </c>
      <c r="J170" s="5">
        <f>Calculations!AS170</f>
        <v>1765726.820697146</v>
      </c>
      <c r="K170" s="5">
        <f t="shared" si="41"/>
        <v>214410.69455504001</v>
      </c>
      <c r="L170" s="5">
        <f t="shared" si="42"/>
        <v>1980137.515252186</v>
      </c>
      <c r="M170" s="119">
        <f>'Student Enrollment Data'!CK171</f>
        <v>194</v>
      </c>
      <c r="N170" s="5">
        <f t="shared" si="48"/>
        <v>10206.894408516422</v>
      </c>
      <c r="O170" s="248">
        <f>F170*('Front page'!$H$11+1)</f>
        <v>1920258.3241000001</v>
      </c>
      <c r="P170" s="250">
        <f>H170*('Front page'!$H$10+1)</f>
        <v>10142.719655440416</v>
      </c>
      <c r="Q170" s="250">
        <f t="shared" si="49"/>
        <v>1967687.6131554407</v>
      </c>
      <c r="R170" s="250">
        <f t="shared" si="50"/>
        <v>-12449.902096745325</v>
      </c>
      <c r="S170" s="7">
        <f t="shared" si="51"/>
        <v>1980137.515252186</v>
      </c>
      <c r="T170" s="7">
        <f t="shared" si="52"/>
        <v>0</v>
      </c>
      <c r="U170" s="5">
        <f t="shared" si="53"/>
        <v>0</v>
      </c>
    </row>
    <row r="171" spans="1:21">
      <c r="A171" s="27" t="str">
        <f t="shared" si="37"/>
        <v>790</v>
      </c>
      <c r="B171" s="27">
        <f t="shared" si="38"/>
        <v>790</v>
      </c>
      <c r="C171" s="15" t="s">
        <v>174</v>
      </c>
      <c r="D171" s="128">
        <v>1617705.19</v>
      </c>
      <c r="E171" s="128">
        <v>195202.66</v>
      </c>
      <c r="F171" s="128">
        <f t="shared" si="39"/>
        <v>1812907.8499999999</v>
      </c>
      <c r="G171" s="206">
        <v>199</v>
      </c>
      <c r="H171" s="207">
        <f t="shared" si="55"/>
        <v>9110.089698492462</v>
      </c>
      <c r="I171" s="182">
        <f t="shared" si="40"/>
        <v>1.0373226015706252E-3</v>
      </c>
      <c r="J171" s="5">
        <f>Calculations!AS171</f>
        <v>1811217.2553732907</v>
      </c>
      <c r="K171" s="5">
        <f t="shared" si="41"/>
        <v>213150.95897902001</v>
      </c>
      <c r="L171" s="5">
        <f t="shared" si="42"/>
        <v>2024368.2143523106</v>
      </c>
      <c r="M171" s="119">
        <f>'Student Enrollment Data'!CK172</f>
        <v>200</v>
      </c>
      <c r="N171" s="5">
        <f t="shared" si="48"/>
        <v>10121.841071761553</v>
      </c>
      <c r="O171" s="248">
        <f>F171*('Front page'!$H$11+1)</f>
        <v>1867295.0854999998</v>
      </c>
      <c r="P171" s="250">
        <f>H171*('Front page'!$H$10+1)</f>
        <v>9565.5941834170862</v>
      </c>
      <c r="Q171" s="250">
        <f t="shared" si="49"/>
        <v>1913118.8366834172</v>
      </c>
      <c r="R171" s="250">
        <f t="shared" si="50"/>
        <v>-111249.37766889343</v>
      </c>
      <c r="S171" s="7">
        <f t="shared" si="51"/>
        <v>2024368.2143523106</v>
      </c>
      <c r="T171" s="7">
        <f t="shared" si="52"/>
        <v>0</v>
      </c>
      <c r="U171" s="5">
        <f t="shared" si="53"/>
        <v>0</v>
      </c>
    </row>
    <row r="172" spans="1:21">
      <c r="A172" s="27" t="str">
        <f t="shared" si="37"/>
        <v>794</v>
      </c>
      <c r="B172" s="27">
        <f t="shared" si="38"/>
        <v>794</v>
      </c>
      <c r="C172" s="15" t="s">
        <v>175</v>
      </c>
      <c r="D172" s="128">
        <v>1619559.24</v>
      </c>
      <c r="E172" s="128">
        <v>144303.95000000001</v>
      </c>
      <c r="F172" s="128">
        <f t="shared" si="39"/>
        <v>1763863.19</v>
      </c>
      <c r="G172" s="206">
        <v>195</v>
      </c>
      <c r="H172" s="207">
        <f t="shared" si="55"/>
        <v>9045.4522564102554</v>
      </c>
      <c r="I172" s="182">
        <f t="shared" si="40"/>
        <v>1.0092598766481495E-3</v>
      </c>
      <c r="J172" s="5">
        <f>Calculations!AS172</f>
        <v>1769591.8642371558</v>
      </c>
      <c r="K172" s="5">
        <f t="shared" si="41"/>
        <v>157572.26529065002</v>
      </c>
      <c r="L172" s="5">
        <f t="shared" si="42"/>
        <v>1927164.1295278058</v>
      </c>
      <c r="M172" s="119">
        <f>'Student Enrollment Data'!CK173</f>
        <v>195</v>
      </c>
      <c r="N172" s="5">
        <f t="shared" si="48"/>
        <v>9882.8929719374664</v>
      </c>
      <c r="O172" s="248">
        <f>F172*('Front page'!$H$11+1)</f>
        <v>1816779.0856999999</v>
      </c>
      <c r="P172" s="250">
        <f>H172*('Front page'!$H$10+1)</f>
        <v>9497.7248692307694</v>
      </c>
      <c r="Q172" s="250">
        <f t="shared" si="49"/>
        <v>1852056.3495</v>
      </c>
      <c r="R172" s="250">
        <f t="shared" si="50"/>
        <v>-75107.780027805828</v>
      </c>
      <c r="S172" s="7">
        <f t="shared" si="51"/>
        <v>1927164.1295278058</v>
      </c>
      <c r="T172" s="7">
        <f t="shared" si="52"/>
        <v>0</v>
      </c>
      <c r="U172" s="5">
        <f t="shared" si="53"/>
        <v>0</v>
      </c>
    </row>
    <row r="173" spans="1:21">
      <c r="A173" s="27" t="str">
        <f t="shared" si="37"/>
        <v>795</v>
      </c>
      <c r="B173" s="27">
        <f t="shared" si="38"/>
        <v>795</v>
      </c>
      <c r="C173" s="15" t="s">
        <v>176</v>
      </c>
      <c r="D173" s="128">
        <v>5810309.8699999992</v>
      </c>
      <c r="E173" s="128">
        <v>956953.53</v>
      </c>
      <c r="F173" s="128">
        <f t="shared" si="39"/>
        <v>6767263.3999999994</v>
      </c>
      <c r="G173" s="206">
        <v>1057.5</v>
      </c>
      <c r="H173" s="207">
        <f t="shared" si="55"/>
        <v>6399.3034515366426</v>
      </c>
      <c r="I173" s="182">
        <f t="shared" si="40"/>
        <v>3.8721412539537924E-3</v>
      </c>
      <c r="J173" s="5">
        <f>Calculations!AS173</f>
        <v>6820455.4782209536</v>
      </c>
      <c r="K173" s="5">
        <f t="shared" si="41"/>
        <v>1044942.53622291</v>
      </c>
      <c r="L173" s="5">
        <f t="shared" si="42"/>
        <v>7865398.0144438632</v>
      </c>
      <c r="M173" s="119">
        <f>'Student Enrollment Data'!CK174</f>
        <v>1116</v>
      </c>
      <c r="N173" s="5">
        <f t="shared" si="48"/>
        <v>7047.8476831934258</v>
      </c>
      <c r="O173" s="248">
        <f>F173*('Front page'!$H$11+1)</f>
        <v>6970281.3019999992</v>
      </c>
      <c r="P173" s="250">
        <f>H173*('Front page'!$H$10+1)</f>
        <v>6719.2686241134752</v>
      </c>
      <c r="Q173" s="250">
        <f t="shared" si="49"/>
        <v>7498703.7845106386</v>
      </c>
      <c r="R173" s="250">
        <f t="shared" si="50"/>
        <v>-366694.22993322462</v>
      </c>
      <c r="S173" s="7">
        <f t="shared" si="51"/>
        <v>7865398.0144438632</v>
      </c>
      <c r="T173" s="7">
        <f t="shared" si="52"/>
        <v>0</v>
      </c>
      <c r="U173" s="5">
        <f t="shared" si="53"/>
        <v>0</v>
      </c>
    </row>
    <row r="174" spans="1:21">
      <c r="A174" s="27" t="str">
        <f t="shared" si="37"/>
        <v>796</v>
      </c>
      <c r="B174" s="27">
        <f t="shared" si="38"/>
        <v>796</v>
      </c>
      <c r="C174" s="15" t="s">
        <v>177</v>
      </c>
      <c r="D174" s="128">
        <v>1244792.82</v>
      </c>
      <c r="E174" s="128">
        <v>190701.9</v>
      </c>
      <c r="F174" s="128">
        <f t="shared" si="39"/>
        <v>1435494.72</v>
      </c>
      <c r="G174" s="206">
        <v>265.5</v>
      </c>
      <c r="H174" s="207">
        <f t="shared" si="55"/>
        <v>5406.7597740112997</v>
      </c>
      <c r="I174" s="182">
        <f t="shared" si="40"/>
        <v>8.2137165300006623E-4</v>
      </c>
      <c r="J174" s="5">
        <f>Calculations!AS174</f>
        <v>1846716.277632775</v>
      </c>
      <c r="K174" s="5">
        <f t="shared" si="41"/>
        <v>208236.36759929999</v>
      </c>
      <c r="L174" s="5">
        <f t="shared" si="42"/>
        <v>2054952.6452320749</v>
      </c>
      <c r="M174" s="119">
        <f>'Student Enrollment Data'!CK175</f>
        <v>338.5</v>
      </c>
      <c r="N174" s="5">
        <f t="shared" si="48"/>
        <v>6070.7611380563512</v>
      </c>
      <c r="O174" s="248">
        <f>F174*('Front page'!$H$11+1)</f>
        <v>1478559.5615999999</v>
      </c>
      <c r="P174" s="250">
        <f>H174*('Front page'!$H$10+1)</f>
        <v>5677.0977627118646</v>
      </c>
      <c r="Q174" s="250">
        <f t="shared" si="49"/>
        <v>1921697.5926779662</v>
      </c>
      <c r="R174" s="250">
        <f t="shared" si="50"/>
        <v>-133255.05255410867</v>
      </c>
      <c r="S174" s="7">
        <f t="shared" si="51"/>
        <v>2054952.6452320749</v>
      </c>
      <c r="T174" s="7">
        <f t="shared" si="52"/>
        <v>0</v>
      </c>
      <c r="U174" s="5">
        <f t="shared" si="53"/>
        <v>0</v>
      </c>
    </row>
    <row r="175" spans="1:21">
      <c r="A175" s="27" t="str">
        <f t="shared" si="37"/>
        <v>813</v>
      </c>
      <c r="B175" s="27">
        <f t="shared" si="38"/>
        <v>813</v>
      </c>
      <c r="C175" s="15" t="s">
        <v>178</v>
      </c>
      <c r="D175" s="128">
        <v>1040729.0800000001</v>
      </c>
      <c r="E175" s="128">
        <v>132599.79</v>
      </c>
      <c r="F175" s="128">
        <f t="shared" si="39"/>
        <v>1173328.8700000001</v>
      </c>
      <c r="G175" s="206">
        <v>154.5</v>
      </c>
      <c r="H175" s="207">
        <f t="shared" si="55"/>
        <v>7594.3616181229781</v>
      </c>
      <c r="I175" s="182">
        <f t="shared" si="40"/>
        <v>6.7136371874958894E-4</v>
      </c>
      <c r="J175" s="5">
        <f>Calculations!AS175</f>
        <v>1337361.536033052</v>
      </c>
      <c r="K175" s="5">
        <f t="shared" si="41"/>
        <v>144791.94289113002</v>
      </c>
      <c r="L175" s="5">
        <f t="shared" si="42"/>
        <v>1482153.478924182</v>
      </c>
      <c r="M175" s="119">
        <f>'Student Enrollment Data'!CK176</f>
        <v>165</v>
      </c>
      <c r="N175" s="5">
        <f t="shared" si="48"/>
        <v>8982.7483571162538</v>
      </c>
      <c r="O175" s="248">
        <f>F175*('Front page'!$H$11+1)</f>
        <v>1208528.7361000001</v>
      </c>
      <c r="P175" s="250">
        <f>H175*('Front page'!$H$10+1)</f>
        <v>7974.0796990291274</v>
      </c>
      <c r="Q175" s="250">
        <f t="shared" si="49"/>
        <v>1315723.150339806</v>
      </c>
      <c r="R175" s="250">
        <f t="shared" si="50"/>
        <v>-166430.32858437602</v>
      </c>
      <c r="S175" s="7">
        <f t="shared" si="51"/>
        <v>1482153.478924182</v>
      </c>
      <c r="T175" s="7">
        <f t="shared" si="52"/>
        <v>0</v>
      </c>
      <c r="U175" s="5">
        <f t="shared" si="53"/>
        <v>0</v>
      </c>
    </row>
    <row r="177" spans="4:21">
      <c r="D177" s="128">
        <f>SUM(D3:D175)</f>
        <v>1563369527.3699989</v>
      </c>
      <c r="E177" s="128">
        <f>SUM(E3:E176)</f>
        <v>184310362.42999998</v>
      </c>
      <c r="F177" s="130">
        <f>SUM(F3:F175)</f>
        <v>1747679889.8000004</v>
      </c>
      <c r="G177" s="208">
        <f>SUM(G3:G175)</f>
        <v>288695</v>
      </c>
      <c r="H177" s="207">
        <f t="shared" ref="H177" si="56">SUM(F177/G177)</f>
        <v>6053.7241372382632</v>
      </c>
      <c r="I177" s="184">
        <f>SUM(I3:I175)</f>
        <v>1</v>
      </c>
      <c r="J177" s="7">
        <f>SUM(J3:J176)</f>
        <v>1716696300.000001</v>
      </c>
      <c r="K177" s="7">
        <f>SUM(K3:K175)</f>
        <v>201257147.32435122</v>
      </c>
      <c r="L177" s="7">
        <f>SUM(L3:L176)</f>
        <v>1917953447.3243511</v>
      </c>
      <c r="M177" s="208">
        <f>SUM(M3:M175)</f>
        <v>293927.13089390739</v>
      </c>
      <c r="O177" s="248">
        <f>SUM(O3:O176)</f>
        <v>1800110286.4940004</v>
      </c>
      <c r="Q177" s="250">
        <f>SUM(Q3:Q176)</f>
        <v>1861011442.3110197</v>
      </c>
      <c r="R177" s="250">
        <f>SUM(R3:R176)</f>
        <v>-55601567.908472821</v>
      </c>
      <c r="S177" s="250">
        <f>SUM(S3:S176)</f>
        <v>1921858617.0088522</v>
      </c>
      <c r="T177" s="250">
        <f>SUM(T3:T176)</f>
        <v>3905169.6845007474</v>
      </c>
      <c r="U177" s="250">
        <f>SUM(U3:U176)</f>
        <v>1818938.407706711</v>
      </c>
    </row>
    <row r="178" spans="4:21">
      <c r="T178" s="7">
        <f>T177+R177</f>
        <v>-51696398.223972075</v>
      </c>
      <c r="U178" s="7">
        <f>U177+R177</f>
        <v>-53782629.500766113</v>
      </c>
    </row>
    <row r="179" spans="4:21">
      <c r="D179" s="128"/>
      <c r="E179" s="128"/>
    </row>
    <row r="181" spans="4:21">
      <c r="D181" s="128"/>
      <c r="E181" s="128"/>
    </row>
  </sheetData>
  <mergeCells count="1">
    <mergeCell ref="J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84"/>
  <sheetViews>
    <sheetView zoomScale="115" zoomScaleNormal="115" workbookViewId="0">
      <pane xSplit="3" ySplit="3" topLeftCell="BW34" activePane="bottomRight" state="frozen"/>
      <selection pane="topRight" activeCell="D1" sqref="D1"/>
      <selection pane="bottomLeft" activeCell="A4" sqref="A4"/>
      <selection pane="bottomRight" activeCell="CF44" sqref="CF44"/>
    </sheetView>
  </sheetViews>
  <sheetFormatPr defaultColWidth="8.42578125" defaultRowHeight="15"/>
  <cols>
    <col min="1" max="1" width="15.140625" style="9" bestFit="1" customWidth="1"/>
    <col min="2" max="2" width="9.42578125" style="9" hidden="1" customWidth="1"/>
    <col min="3" max="3" width="22.42578125" style="9" customWidth="1"/>
    <col min="4" max="4" width="16.42578125" style="9" hidden="1" customWidth="1"/>
    <col min="5" max="5" width="10" style="9" hidden="1" customWidth="1"/>
    <col min="6" max="24" width="0" style="9" hidden="1" customWidth="1"/>
    <col min="25" max="25" width="11.42578125" style="9" hidden="1" customWidth="1"/>
    <col min="26" max="33" width="9.42578125" style="9" hidden="1" customWidth="1"/>
    <col min="34" max="34" width="9.42578125" style="9" customWidth="1"/>
    <col min="35" max="47" width="8.42578125" style="9"/>
    <col min="48" max="48" width="8.42578125" style="9" customWidth="1"/>
    <col min="49" max="49" width="8.42578125" style="9"/>
    <col min="50" max="54" width="0" style="9" hidden="1" customWidth="1"/>
    <col min="55" max="55" width="4.140625" style="18" customWidth="1"/>
    <col min="56" max="56" width="11.140625" style="9" hidden="1" customWidth="1"/>
    <col min="57" max="57" width="0" style="9" hidden="1" customWidth="1"/>
    <col min="58" max="58" width="13.42578125" style="252" customWidth="1"/>
    <col min="59" max="59" width="3.42578125" style="254" customWidth="1"/>
    <col min="60" max="62" width="0" style="252" hidden="1" customWidth="1"/>
    <col min="63" max="63" width="16.140625" style="252" customWidth="1"/>
    <col min="64" max="64" width="0" style="252" hidden="1" customWidth="1"/>
    <col min="65" max="65" width="10" style="252" hidden="1" customWidth="1"/>
    <col min="66" max="66" width="0" style="252" hidden="1" customWidth="1"/>
    <col min="67" max="67" width="3.42578125" style="254" customWidth="1"/>
    <col min="68" max="70" width="0" style="252" hidden="1" customWidth="1"/>
    <col min="71" max="71" width="9.42578125" style="255" bestFit="1" customWidth="1"/>
    <col min="72" max="72" width="4" style="254" customWidth="1"/>
    <col min="73" max="73" width="8.42578125" style="252"/>
    <col min="74" max="74" width="5.42578125" style="21" customWidth="1"/>
    <col min="75" max="88" width="8.42578125" style="9"/>
    <col min="89" max="89" width="10.140625" style="9" customWidth="1"/>
    <col min="90" max="91" width="8.42578125" style="9"/>
    <col min="92" max="92" width="10.140625" style="9" bestFit="1" customWidth="1"/>
    <col min="93" max="93" width="8.42578125" style="9"/>
    <col min="94" max="94" width="2.7109375" style="18" customWidth="1"/>
    <col min="95" max="95" width="13.28515625" style="9" customWidth="1"/>
    <col min="96" max="96" width="13.7109375" style="9" customWidth="1"/>
    <col min="97" max="16384" width="8.42578125" style="9"/>
  </cols>
  <sheetData>
    <row r="1" spans="1:96">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7"/>
      <c r="BD1" s="12"/>
      <c r="BW1" s="9">
        <v>5</v>
      </c>
      <c r="BX1" s="9">
        <v>6</v>
      </c>
      <c r="BY1" s="9">
        <v>7</v>
      </c>
      <c r="BZ1" s="9">
        <v>8</v>
      </c>
      <c r="CA1" s="9">
        <v>9</v>
      </c>
      <c r="CB1" s="9">
        <v>10</v>
      </c>
      <c r="CC1" s="9">
        <v>11</v>
      </c>
      <c r="CD1" s="9">
        <v>12</v>
      </c>
      <c r="CE1" s="9">
        <v>14</v>
      </c>
      <c r="CF1" s="9">
        <v>15</v>
      </c>
      <c r="CG1" s="9">
        <v>16</v>
      </c>
      <c r="CH1" s="9">
        <v>17</v>
      </c>
      <c r="CI1" s="9">
        <v>18</v>
      </c>
      <c r="CJ1" s="9">
        <v>19</v>
      </c>
    </row>
    <row r="2" spans="1:96">
      <c r="B2" s="10"/>
      <c r="C2" s="13"/>
      <c r="D2" s="13"/>
      <c r="E2" s="364" t="s">
        <v>183</v>
      </c>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t="s">
        <v>328</v>
      </c>
      <c r="AY2" s="364"/>
      <c r="AZ2" s="364"/>
      <c r="BA2" s="364"/>
      <c r="BB2" s="364"/>
      <c r="BD2" s="364" t="s">
        <v>0</v>
      </c>
      <c r="BE2" s="364"/>
      <c r="BF2" s="364"/>
      <c r="BH2" s="364" t="s">
        <v>3</v>
      </c>
      <c r="BI2" s="364"/>
      <c r="BJ2" s="364"/>
      <c r="BK2" s="364"/>
      <c r="BL2" s="364"/>
      <c r="BM2" s="364"/>
      <c r="BN2" s="364"/>
      <c r="BP2" s="364" t="s">
        <v>5</v>
      </c>
      <c r="BQ2" s="364"/>
      <c r="BR2" s="364"/>
      <c r="BS2" s="364"/>
      <c r="BU2" s="245" t="s">
        <v>6</v>
      </c>
      <c r="BW2" s="9" t="s">
        <v>306</v>
      </c>
    </row>
    <row r="3" spans="1:96" ht="60">
      <c r="A3" s="9" t="s">
        <v>179</v>
      </c>
      <c r="B3" s="10" t="s">
        <v>180</v>
      </c>
      <c r="C3" s="10" t="s">
        <v>181</v>
      </c>
      <c r="D3" s="10" t="s">
        <v>182</v>
      </c>
      <c r="E3" s="16" t="s">
        <v>326</v>
      </c>
      <c r="F3" s="16" t="s">
        <v>184</v>
      </c>
      <c r="G3" s="16" t="s">
        <v>185</v>
      </c>
      <c r="H3" s="16" t="s">
        <v>186</v>
      </c>
      <c r="I3" s="16" t="s">
        <v>187</v>
      </c>
      <c r="J3" s="16" t="s">
        <v>188</v>
      </c>
      <c r="K3" s="16" t="s">
        <v>189</v>
      </c>
      <c r="L3" s="16" t="s">
        <v>190</v>
      </c>
      <c r="M3" s="16" t="s">
        <v>191</v>
      </c>
      <c r="N3" s="16" t="s">
        <v>192</v>
      </c>
      <c r="O3" s="16" t="s">
        <v>193</v>
      </c>
      <c r="P3" s="16" t="s">
        <v>194</v>
      </c>
      <c r="Q3" s="16" t="s">
        <v>195</v>
      </c>
      <c r="R3" s="16" t="s">
        <v>196</v>
      </c>
      <c r="S3" s="16" t="s">
        <v>197</v>
      </c>
      <c r="T3" s="16" t="s">
        <v>198</v>
      </c>
      <c r="U3" s="16" t="s">
        <v>199</v>
      </c>
      <c r="V3" s="16" t="s">
        <v>200</v>
      </c>
      <c r="W3" s="16" t="s">
        <v>201</v>
      </c>
      <c r="X3" s="16" t="s">
        <v>202</v>
      </c>
      <c r="Y3" s="16" t="s">
        <v>203</v>
      </c>
      <c r="Z3" s="16" t="s">
        <v>204</v>
      </c>
      <c r="AA3" s="16" t="s">
        <v>205</v>
      </c>
      <c r="AB3" s="16" t="s">
        <v>206</v>
      </c>
      <c r="AC3" s="16" t="s">
        <v>207</v>
      </c>
      <c r="AD3" s="16" t="s">
        <v>208</v>
      </c>
      <c r="AE3" s="16" t="s">
        <v>209</v>
      </c>
      <c r="AF3" s="16" t="s">
        <v>210</v>
      </c>
      <c r="AG3" s="16" t="s">
        <v>211</v>
      </c>
      <c r="AH3" s="16" t="s">
        <v>212</v>
      </c>
      <c r="AI3" s="16" t="s">
        <v>213</v>
      </c>
      <c r="AJ3" s="16" t="s">
        <v>214</v>
      </c>
      <c r="AK3" s="16" t="s">
        <v>215</v>
      </c>
      <c r="AL3" s="16" t="s">
        <v>216</v>
      </c>
      <c r="AM3" s="16" t="s">
        <v>217</v>
      </c>
      <c r="AN3" s="16" t="s">
        <v>218</v>
      </c>
      <c r="AO3" s="16" t="s">
        <v>219</v>
      </c>
      <c r="AP3" s="16" t="s">
        <v>220</v>
      </c>
      <c r="AQ3" s="16" t="s">
        <v>221</v>
      </c>
      <c r="AR3" s="16" t="s">
        <v>222</v>
      </c>
      <c r="AS3" s="16" t="s">
        <v>223</v>
      </c>
      <c r="AT3" s="16" t="s">
        <v>224</v>
      </c>
      <c r="AU3" s="16" t="s">
        <v>225</v>
      </c>
      <c r="AV3" s="16" t="s">
        <v>226</v>
      </c>
      <c r="AW3" s="16" t="s">
        <v>227</v>
      </c>
      <c r="AX3" s="16" t="s">
        <v>312</v>
      </c>
      <c r="AY3" s="16" t="s">
        <v>308</v>
      </c>
      <c r="AZ3" s="16" t="s">
        <v>309</v>
      </c>
      <c r="BA3" s="16" t="s">
        <v>313</v>
      </c>
      <c r="BB3" s="16" t="s">
        <v>314</v>
      </c>
      <c r="BD3" s="199" t="s">
        <v>602</v>
      </c>
      <c r="BE3" s="16" t="s">
        <v>229</v>
      </c>
      <c r="BF3" s="199" t="s">
        <v>579</v>
      </c>
      <c r="BH3" s="16" t="s">
        <v>228</v>
      </c>
      <c r="BI3" s="16" t="s">
        <v>233</v>
      </c>
      <c r="BJ3" s="16" t="s">
        <v>232</v>
      </c>
      <c r="BK3" s="16" t="s">
        <v>231</v>
      </c>
      <c r="BL3" s="16" t="s">
        <v>235</v>
      </c>
      <c r="BM3" s="16" t="s">
        <v>236</v>
      </c>
      <c r="BN3" s="16" t="s">
        <v>237</v>
      </c>
      <c r="BP3" s="16" t="s">
        <v>238</v>
      </c>
      <c r="BQ3" s="16" t="s">
        <v>233</v>
      </c>
      <c r="BR3" s="16" t="s">
        <v>232</v>
      </c>
      <c r="BS3" s="22" t="s">
        <v>230</v>
      </c>
      <c r="BU3" s="16" t="s">
        <v>238</v>
      </c>
      <c r="BW3" s="196" t="s">
        <v>292</v>
      </c>
      <c r="BX3" s="196" t="s">
        <v>293</v>
      </c>
      <c r="BY3" s="196" t="s">
        <v>294</v>
      </c>
      <c r="BZ3" s="196" t="s">
        <v>295</v>
      </c>
      <c r="CA3" s="196" t="s">
        <v>296</v>
      </c>
      <c r="CB3" s="196" t="s">
        <v>297</v>
      </c>
      <c r="CC3" s="196" t="s">
        <v>298</v>
      </c>
      <c r="CD3" s="196" t="s">
        <v>299</v>
      </c>
      <c r="CE3" s="196" t="s">
        <v>300</v>
      </c>
      <c r="CF3" s="196" t="s">
        <v>301</v>
      </c>
      <c r="CG3" s="196" t="s">
        <v>302</v>
      </c>
      <c r="CH3" s="196" t="s">
        <v>303</v>
      </c>
      <c r="CI3" s="196" t="s">
        <v>304</v>
      </c>
      <c r="CJ3" s="196" t="s">
        <v>305</v>
      </c>
      <c r="CK3" s="197" t="s">
        <v>307</v>
      </c>
      <c r="CL3" s="196" t="s">
        <v>308</v>
      </c>
      <c r="CM3" s="196" t="s">
        <v>309</v>
      </c>
      <c r="CN3" s="197" t="s">
        <v>310</v>
      </c>
      <c r="CO3" s="197" t="s">
        <v>311</v>
      </c>
      <c r="CQ3" s="196" t="s">
        <v>538</v>
      </c>
      <c r="CR3" s="196" t="s">
        <v>539</v>
      </c>
    </row>
    <row r="4" spans="1:96" ht="29.25">
      <c r="A4" t="str">
        <f t="shared" ref="A4:A67" si="0">RIGHT(C4,3)</f>
        <v>001</v>
      </c>
      <c r="B4">
        <f>A4*1</f>
        <v>1</v>
      </c>
      <c r="C4" s="14" t="s">
        <v>11</v>
      </c>
      <c r="D4" s="11"/>
      <c r="E4" s="9">
        <f>SUM(1572.29885057471*0.5)</f>
        <v>786.14942528735503</v>
      </c>
      <c r="F4" s="9">
        <v>1730.9862748568501</v>
      </c>
      <c r="G4" s="9">
        <v>1830.6771008123301</v>
      </c>
      <c r="H4" s="9">
        <v>1884.17964653387</v>
      </c>
      <c r="I4" s="9">
        <v>1937.0933614989699</v>
      </c>
      <c r="J4" s="9">
        <v>1954.31454578889</v>
      </c>
      <c r="K4" s="9">
        <v>1880.6492281136</v>
      </c>
      <c r="L4" s="9">
        <v>1970.7121403955</v>
      </c>
      <c r="M4" s="9">
        <v>1915.9887952510401</v>
      </c>
      <c r="N4" s="9">
        <v>1807.6988804591001</v>
      </c>
      <c r="O4" s="9">
        <v>1769.4005681818201</v>
      </c>
      <c r="P4" s="9">
        <v>1733.03125</v>
      </c>
      <c r="Q4" s="9">
        <v>1583.73295454545</v>
      </c>
      <c r="R4" s="9">
        <v>0</v>
      </c>
      <c r="S4" s="9">
        <v>2.8909034090909098</v>
      </c>
      <c r="T4" s="9">
        <v>7.5240263636363602</v>
      </c>
      <c r="U4" s="9">
        <v>48.890476549056899</v>
      </c>
      <c r="V4" s="9">
        <v>69.449059826763701</v>
      </c>
      <c r="W4" s="9">
        <v>100.205045389579</v>
      </c>
      <c r="X4" s="9">
        <v>160.18533036259501</v>
      </c>
      <c r="Y4" s="9">
        <v>0</v>
      </c>
      <c r="Z4" s="9">
        <v>0.2</v>
      </c>
      <c r="AA4" s="9">
        <v>0.78260869565217395</v>
      </c>
      <c r="AB4" s="9">
        <v>1.0086206896551699</v>
      </c>
      <c r="AC4" s="9">
        <v>1.5343511450381699</v>
      </c>
      <c r="AD4" s="9">
        <v>3.34463276836158</v>
      </c>
      <c r="AE4" s="9">
        <v>4.9593023255814002</v>
      </c>
      <c r="AF4" s="9">
        <v>4.0231213872832399</v>
      </c>
      <c r="AG4" s="9">
        <v>2.2678571428571401</v>
      </c>
      <c r="AH4" s="9">
        <v>0</v>
      </c>
      <c r="AI4" s="9">
        <v>0</v>
      </c>
      <c r="AJ4" s="9">
        <v>0.31578947368421101</v>
      </c>
      <c r="AK4" s="9">
        <v>0.84210526315789502</v>
      </c>
      <c r="AL4" s="9">
        <v>0.78947368421052599</v>
      </c>
      <c r="AM4" s="9">
        <v>5.0789473684210504</v>
      </c>
      <c r="AN4" s="9">
        <v>3.9736842105263199</v>
      </c>
      <c r="AO4" s="9">
        <v>7.1052631578947398</v>
      </c>
      <c r="AP4" s="9">
        <v>0.65789473684210498</v>
      </c>
      <c r="AQ4" s="9">
        <v>0</v>
      </c>
      <c r="AR4" s="9">
        <v>17.6606470588235</v>
      </c>
      <c r="AS4" s="9">
        <v>18.9523137254902</v>
      </c>
      <c r="AT4" s="9">
        <v>10.750415686274501</v>
      </c>
      <c r="AU4" s="9">
        <v>103.185388235294</v>
      </c>
      <c r="AV4" s="9">
        <v>91.7881490196078</v>
      </c>
      <c r="AW4" s="9">
        <v>131.82206274509801</v>
      </c>
      <c r="AX4" s="9">
        <f>SUM(E4:AW4)*1.05</f>
        <v>24764.041724252507</v>
      </c>
      <c r="AY4" s="9">
        <f>SUM(E4:H4)*1.05</f>
        <v>6543.5920698649261</v>
      </c>
      <c r="AZ4" s="9">
        <f>SUM(AT4:AW4,AM4:AP4,AD4:AG4,U4:X4,N4:Q4)*1.05</f>
        <v>8023.6277983033269</v>
      </c>
      <c r="BA4" s="9">
        <f>SUM(E4,AQ4,AH4:AJ4,Y4:AA4,R4,F4:K4)*1.05</f>
        <v>12605.615380114261</v>
      </c>
      <c r="BB4" s="9">
        <f>SUM(AR4:AW4,AK4:AP4,AB4:AG4,S4:X4,L4:Q4)*1.05</f>
        <v>12158.426344138252</v>
      </c>
      <c r="BC4" s="19"/>
      <c r="BD4" s="9">
        <v>11342</v>
      </c>
      <c r="BF4" s="252">
        <v>12416</v>
      </c>
      <c r="BH4" s="252">
        <v>3105</v>
      </c>
      <c r="BI4" s="252">
        <f>IFERROR(BH4*1,"")</f>
        <v>3105</v>
      </c>
      <c r="BJ4" s="252">
        <f>IFERROR(IF(BH4&gt;0,SUM(E4:Q4),""),"")</f>
        <v>22784.614171724774</v>
      </c>
      <c r="BK4" s="256">
        <f t="shared" ref="BK4:BK35" si="1">IFERROR(BH4*1,SUM(E4:Q4)*$BJ$179)</f>
        <v>3105</v>
      </c>
      <c r="BP4" s="252">
        <v>2853</v>
      </c>
      <c r="BQ4" s="252">
        <f>IFERROR(BP4*1,"")</f>
        <v>2853</v>
      </c>
      <c r="BR4" s="256">
        <f>IFERROR(IF(BP4=BQ4,SUM(E4:Q4),""),"")</f>
        <v>22784.614171724774</v>
      </c>
      <c r="BS4" s="255">
        <f t="shared" ref="BS4:BS35" si="2">IFERROR(BP4*1,SUM(E4:Q4)*$BR$179)</f>
        <v>2853</v>
      </c>
      <c r="BU4" s="252">
        <v>3842</v>
      </c>
      <c r="BW4" s="9">
        <v>311</v>
      </c>
      <c r="BX4" s="9">
        <v>1527</v>
      </c>
      <c r="BY4" s="9">
        <v>1692</v>
      </c>
      <c r="BZ4" s="9">
        <v>1732</v>
      </c>
      <c r="CA4" s="9">
        <v>1869</v>
      </c>
      <c r="CB4" s="9">
        <v>1967</v>
      </c>
      <c r="CC4" s="9">
        <v>2015</v>
      </c>
      <c r="CD4" s="9">
        <v>2061</v>
      </c>
      <c r="CE4" s="9">
        <v>1998</v>
      </c>
      <c r="CF4" s="9">
        <v>2110</v>
      </c>
      <c r="CG4" s="9">
        <v>2124</v>
      </c>
      <c r="CH4" s="9">
        <v>2050</v>
      </c>
      <c r="CI4" s="9">
        <v>2023</v>
      </c>
      <c r="CJ4" s="9">
        <v>2050</v>
      </c>
      <c r="CK4" s="23">
        <f>SUM(BY4,BZ4,CA4,CB4,CC4,CD4,CE4,CF4,CG4,CH4,CI4,CJ4) + (BX4*0.5) + (SUM(AH4:AW4)*0.25)</f>
        <v>24552.73053359133</v>
      </c>
      <c r="CL4">
        <f>SUM(BY4:CA4) +( BX4*0.5)</f>
        <v>6056.5</v>
      </c>
      <c r="CM4">
        <f>SUM(CG4:CJ4) + (SUM(AM4:AP4,AT4:AW4)*0.25)</f>
        <v>8335.5904512899888</v>
      </c>
      <c r="CN4" s="23">
        <f>SUM(BY4:CD4)+(BX4*0.5)+((AJ4+AQ4)*0.25)</f>
        <v>12099.578947368422</v>
      </c>
      <c r="CO4">
        <f>MAX($D$181,SUM(CE4:CJ4) +((AK4+AL4+AM4+AN4+AO4+AP4+AR4+AS4+AT4+AU4+AV4+AW4)*0.25))</f>
        <v>12453.15158622291</v>
      </c>
      <c r="CP4" s="25"/>
      <c r="CQ4" s="23">
        <f>SUM(BX4:CD4) + ((AJ4+AQ4)*0.25)</f>
        <v>12863.078947368422</v>
      </c>
      <c r="CR4" s="23">
        <f>SUM(CE4:CJ4) + (SUM(AK4:AP4,AR4:AW4)*0.25)</f>
        <v>12453.15158622291</v>
      </c>
    </row>
    <row r="5" spans="1:96" ht="29.25">
      <c r="A5" t="str">
        <f t="shared" si="0"/>
        <v>002</v>
      </c>
      <c r="B5">
        <f t="shared" ref="B5:B68" si="3">A5*1</f>
        <v>2</v>
      </c>
      <c r="C5" s="14" t="s">
        <v>12</v>
      </c>
      <c r="D5" s="11"/>
      <c r="E5" s="9">
        <f>SUM(2314.81417933496*0.5)</f>
        <v>1157.40708966748</v>
      </c>
      <c r="F5" s="9">
        <v>2610.4828108576899</v>
      </c>
      <c r="G5" s="9">
        <v>2485.8428226760698</v>
      </c>
      <c r="H5" s="9">
        <v>2697.3203945310102</v>
      </c>
      <c r="I5" s="9">
        <v>2760.7494804879698</v>
      </c>
      <c r="J5" s="9">
        <v>2897.4111393138801</v>
      </c>
      <c r="K5" s="9">
        <v>2950.6205807567699</v>
      </c>
      <c r="L5" s="9">
        <v>2859.6906199210598</v>
      </c>
      <c r="M5" s="9">
        <v>2827.6361918019902</v>
      </c>
      <c r="N5" s="9">
        <v>2916.8530420269399</v>
      </c>
      <c r="O5" s="9">
        <v>2667.0836772595999</v>
      </c>
      <c r="P5" s="9">
        <v>2418.33573201938</v>
      </c>
      <c r="Q5" s="9">
        <v>2405.7910352214099</v>
      </c>
      <c r="R5" s="9">
        <v>29.156838074078198</v>
      </c>
      <c r="S5" s="9">
        <v>107.386826262052</v>
      </c>
      <c r="T5" s="9">
        <v>119.15712854535801</v>
      </c>
      <c r="U5" s="9">
        <v>83.659090654097497</v>
      </c>
      <c r="V5" s="9">
        <v>107.967176910524</v>
      </c>
      <c r="W5" s="9">
        <v>114.438475324403</v>
      </c>
      <c r="X5" s="9">
        <v>157.15911899721499</v>
      </c>
      <c r="Y5" s="9">
        <v>0</v>
      </c>
      <c r="Z5" s="9">
        <v>0</v>
      </c>
      <c r="AA5" s="9">
        <v>0</v>
      </c>
      <c r="AB5" s="9">
        <v>0</v>
      </c>
      <c r="AC5" s="9">
        <v>0</v>
      </c>
      <c r="AD5" s="9">
        <v>0</v>
      </c>
      <c r="AE5" s="9">
        <v>0</v>
      </c>
      <c r="AF5" s="9">
        <v>0</v>
      </c>
      <c r="AG5" s="9">
        <v>0</v>
      </c>
      <c r="AH5" s="9">
        <v>0</v>
      </c>
      <c r="AI5" s="9">
        <v>0</v>
      </c>
      <c r="AJ5" s="9">
        <v>0</v>
      </c>
      <c r="AK5" s="9">
        <v>0</v>
      </c>
      <c r="AL5" s="9">
        <v>0</v>
      </c>
      <c r="AM5" s="9">
        <v>0</v>
      </c>
      <c r="AN5" s="9">
        <v>0</v>
      </c>
      <c r="AO5" s="9">
        <v>0</v>
      </c>
      <c r="AP5" s="9">
        <v>0</v>
      </c>
      <c r="AQ5" s="9">
        <v>8.7450980392156907</v>
      </c>
      <c r="AR5" s="9">
        <v>1.31372549019608</v>
      </c>
      <c r="AS5" s="9">
        <v>97.813725490196106</v>
      </c>
      <c r="AT5" s="9">
        <v>9.3372549019607796</v>
      </c>
      <c r="AU5" s="9">
        <v>43.017647058823499</v>
      </c>
      <c r="AV5" s="9">
        <v>50.152941176470598</v>
      </c>
      <c r="AW5" s="9">
        <v>83.717647058823502</v>
      </c>
      <c r="AX5" s="9">
        <f t="shared" ref="AX5:AX68" si="4">SUM(E5:AW5)*1.05</f>
        <v>36401.65967605092</v>
      </c>
      <c r="AY5" s="9">
        <f t="shared" ref="AY5:AY68" si="5">SUM(E5:H5)*1.05</f>
        <v>9398.6057736188632</v>
      </c>
      <c r="AZ5" s="9">
        <f t="shared" ref="AZ5:AZ68" si="6">SUM(AT5:AW5,AM5:AP5,AD5:AG5,U5:X5,N5:Q5)*1.05</f>
        <v>11610.38848054013</v>
      </c>
      <c r="BA5" s="9">
        <f t="shared" ref="BA5:BA68" si="7">SUM(E5,AQ5,AH5:AJ5,Y5:AA5,R5,F5:K5)*1.05</f>
        <v>18477.623067124372</v>
      </c>
      <c r="BB5" s="9">
        <f t="shared" ref="BB5:BB68" si="8">SUM(AR5:AW5,AK5:AP5,AB5:AG5,S5:X5,L5:Q5)*1.05</f>
        <v>17924.036608926526</v>
      </c>
      <c r="BC5" s="19"/>
      <c r="BD5" s="9">
        <v>9221</v>
      </c>
      <c r="BF5" s="252">
        <v>9492</v>
      </c>
      <c r="BH5" s="252">
        <v>4001</v>
      </c>
      <c r="BI5" s="252">
        <f t="shared" ref="BI5:BI68" si="9">IFERROR(BH5*1,"")</f>
        <v>4001</v>
      </c>
      <c r="BJ5" s="252">
        <f t="shared" ref="BJ5:BJ48" si="10">IFERROR(IF(BH5&gt;0,SUM(E5:Q5),""),"")</f>
        <v>33655.224616541258</v>
      </c>
      <c r="BK5" s="256">
        <f t="shared" si="1"/>
        <v>4001</v>
      </c>
      <c r="BP5" s="252">
        <v>1841</v>
      </c>
      <c r="BQ5" s="252">
        <f t="shared" ref="BQ5:BQ68" si="11">IFERROR(BP5*1,"")</f>
        <v>1841</v>
      </c>
      <c r="BR5" s="256">
        <f t="shared" ref="BR5:BR68" si="12">IFERROR(IF(BP5=BQ5,SUM(E5:Q5),""),"")</f>
        <v>33655.224616541258</v>
      </c>
      <c r="BS5" s="255">
        <f t="shared" si="2"/>
        <v>1841</v>
      </c>
      <c r="BU5" s="252">
        <v>2545</v>
      </c>
      <c r="BW5" s="9">
        <v>396</v>
      </c>
      <c r="BX5" s="9">
        <v>2642</v>
      </c>
      <c r="BY5" s="9">
        <v>2729</v>
      </c>
      <c r="BZ5" s="9">
        <v>2939</v>
      </c>
      <c r="CA5" s="9">
        <v>2839</v>
      </c>
      <c r="CB5" s="9">
        <v>3055</v>
      </c>
      <c r="CC5" s="9">
        <v>3138</v>
      </c>
      <c r="CD5" s="9">
        <v>3255</v>
      </c>
      <c r="CE5" s="9">
        <v>3234</v>
      </c>
      <c r="CF5" s="9">
        <v>3187</v>
      </c>
      <c r="CG5" s="9">
        <v>3186</v>
      </c>
      <c r="CH5" s="9">
        <v>3222</v>
      </c>
      <c r="CI5" s="9">
        <v>2943</v>
      </c>
      <c r="CJ5" s="9">
        <v>2767</v>
      </c>
      <c r="CK5" s="23">
        <f t="shared" ref="CK5:CK68" si="13">SUM(BY5,BZ5,CA5,CB5,CC5,CD5,CE5,CF5,CG5,CH5,CI5,CJ5) + (BX5*0.5) + (SUM(AH5:AW5)*0.25)</f>
        <v>37888.524509803923</v>
      </c>
      <c r="CL5">
        <f t="shared" ref="CL5:CL68" si="14">SUM(BY5:CA5) +( BX5*0.5)</f>
        <v>9828</v>
      </c>
      <c r="CM5">
        <f t="shared" ref="CM5:CM68" si="15">SUM(CG5:CJ5) + (SUM(AM5:AP5,AT5:AW5)*0.25)</f>
        <v>12164.556372549019</v>
      </c>
      <c r="CN5" s="23">
        <f t="shared" ref="CN5:CN68" si="16">SUM(BY5:CD5)+(BX5*0.5)+((AJ5+AQ5)*0.25)</f>
        <v>19278.186274509804</v>
      </c>
      <c r="CO5">
        <f t="shared" ref="CO5:CO25" si="17">MAX($D$181,SUM(CE5:CJ5) +((AK5+AL5+AM5+AN5+AO5+AP5+AR5+AS5+AT5+AU5+AV5+AW5)*0.25))</f>
        <v>18610.338235294119</v>
      </c>
      <c r="CQ5" s="23">
        <f t="shared" ref="CQ5:CQ68" si="18">SUM(BX5:CD5) + ((AJ5+AQ5)*0.25)</f>
        <v>20599.186274509804</v>
      </c>
      <c r="CR5" s="23">
        <f t="shared" ref="CR5:CR68" si="19">SUM(CE5:CJ5) + (SUM(AK5:AP5,AR5:AW5)*0.25)</f>
        <v>18610.338235294119</v>
      </c>
    </row>
    <row r="6" spans="1:96" ht="29.25">
      <c r="A6" t="str">
        <f t="shared" si="0"/>
        <v>003</v>
      </c>
      <c r="B6">
        <f t="shared" si="3"/>
        <v>3</v>
      </c>
      <c r="C6" s="14" t="s">
        <v>13</v>
      </c>
      <c r="D6" s="11"/>
      <c r="E6" s="9">
        <f>SUM(295.290074596843*0.5)</f>
        <v>147.6450372984215</v>
      </c>
      <c r="F6" s="9">
        <v>362.08430232558101</v>
      </c>
      <c r="G6" s="9">
        <v>359</v>
      </c>
      <c r="H6" s="9">
        <v>393.33720930232602</v>
      </c>
      <c r="I6" s="9">
        <v>379.21511627907</v>
      </c>
      <c r="J6" s="9">
        <v>457.74709302325601</v>
      </c>
      <c r="K6" s="9">
        <v>413.66279069767398</v>
      </c>
      <c r="L6" s="9">
        <v>404.45930232558101</v>
      </c>
      <c r="M6" s="9">
        <v>398.40116279069798</v>
      </c>
      <c r="N6" s="9">
        <v>426.31104651162798</v>
      </c>
      <c r="O6" s="9">
        <v>377.93023255814001</v>
      </c>
      <c r="P6" s="9">
        <v>324.33720930232602</v>
      </c>
      <c r="Q6" s="9">
        <v>308.18604651162798</v>
      </c>
      <c r="R6" s="9">
        <v>0</v>
      </c>
      <c r="S6" s="9">
        <v>0</v>
      </c>
      <c r="T6" s="9">
        <v>0</v>
      </c>
      <c r="U6" s="9">
        <v>7.6967148653554602</v>
      </c>
      <c r="V6" s="9">
        <v>23.420370968399901</v>
      </c>
      <c r="W6" s="9">
        <v>24.976521237444398</v>
      </c>
      <c r="X6" s="9">
        <v>30.594417350285401</v>
      </c>
      <c r="Y6" s="9">
        <v>0</v>
      </c>
      <c r="Z6" s="9">
        <v>0</v>
      </c>
      <c r="AA6" s="9">
        <v>0</v>
      </c>
      <c r="AB6" s="9">
        <v>0</v>
      </c>
      <c r="AC6" s="9">
        <v>0</v>
      </c>
      <c r="AD6" s="9">
        <v>0</v>
      </c>
      <c r="AE6" s="9">
        <v>0</v>
      </c>
      <c r="AF6" s="9">
        <v>0</v>
      </c>
      <c r="AG6" s="9">
        <v>0</v>
      </c>
      <c r="AH6" s="9">
        <v>0</v>
      </c>
      <c r="AI6" s="9">
        <v>0</v>
      </c>
      <c r="AJ6" s="9">
        <v>0</v>
      </c>
      <c r="AK6" s="9">
        <v>0</v>
      </c>
      <c r="AL6" s="9">
        <v>0</v>
      </c>
      <c r="AM6" s="9">
        <v>0</v>
      </c>
      <c r="AN6" s="9">
        <v>0</v>
      </c>
      <c r="AO6" s="9">
        <v>0</v>
      </c>
      <c r="AP6" s="9">
        <v>0</v>
      </c>
      <c r="AQ6" s="9">
        <v>0</v>
      </c>
      <c r="AR6" s="9">
        <v>3.8970588235294099</v>
      </c>
      <c r="AS6" s="9">
        <v>9.9558823529411793</v>
      </c>
      <c r="AT6" s="9">
        <v>35.097725490196098</v>
      </c>
      <c r="AU6" s="9">
        <v>22.5982352941176</v>
      </c>
      <c r="AV6" s="9">
        <v>27.5289411764706</v>
      </c>
      <c r="AW6" s="9">
        <v>10.7205882352941</v>
      </c>
      <c r="AX6" s="9">
        <f t="shared" si="4"/>
        <v>5196.2431549563835</v>
      </c>
      <c r="AY6" s="9">
        <f t="shared" si="5"/>
        <v>1325.1698763726449</v>
      </c>
      <c r="AZ6" s="9">
        <f t="shared" si="6"/>
        <v>1700.36795197635</v>
      </c>
      <c r="BA6" s="9">
        <f t="shared" si="7"/>
        <v>2638.3261263726454</v>
      </c>
      <c r="BB6" s="9">
        <f t="shared" si="8"/>
        <v>2557.9170285837367</v>
      </c>
      <c r="BC6" s="19"/>
      <c r="BD6" s="9">
        <v>1942</v>
      </c>
      <c r="BF6" s="252">
        <v>1678</v>
      </c>
      <c r="BH6" s="252">
        <v>646</v>
      </c>
      <c r="BI6" s="252">
        <f t="shared" si="9"/>
        <v>646</v>
      </c>
      <c r="BJ6" s="252">
        <f t="shared" si="10"/>
        <v>4752.3165489263301</v>
      </c>
      <c r="BK6" s="256">
        <f t="shared" si="1"/>
        <v>646</v>
      </c>
      <c r="BP6" s="252">
        <v>190</v>
      </c>
      <c r="BQ6" s="252">
        <f t="shared" si="11"/>
        <v>190</v>
      </c>
      <c r="BR6" s="256">
        <f t="shared" si="12"/>
        <v>4752.3165489263301</v>
      </c>
      <c r="BS6" s="255">
        <f t="shared" si="2"/>
        <v>190</v>
      </c>
      <c r="BU6" s="252">
        <v>37</v>
      </c>
      <c r="BW6" s="9">
        <v>79</v>
      </c>
      <c r="BX6" s="9">
        <v>374</v>
      </c>
      <c r="BY6" s="9">
        <v>343</v>
      </c>
      <c r="BZ6" s="9">
        <v>375</v>
      </c>
      <c r="CA6" s="9">
        <v>375</v>
      </c>
      <c r="CB6" s="9">
        <v>405</v>
      </c>
      <c r="CC6" s="9">
        <v>406</v>
      </c>
      <c r="CD6" s="9">
        <v>455</v>
      </c>
      <c r="CE6" s="9">
        <v>415</v>
      </c>
      <c r="CF6" s="9">
        <v>430</v>
      </c>
      <c r="CG6" s="9">
        <v>470</v>
      </c>
      <c r="CH6" s="9">
        <v>461</v>
      </c>
      <c r="CI6" s="9">
        <v>427</v>
      </c>
      <c r="CJ6" s="9">
        <v>385</v>
      </c>
      <c r="CK6" s="23">
        <f t="shared" si="13"/>
        <v>5161.4496078431375</v>
      </c>
      <c r="CL6">
        <f t="shared" si="14"/>
        <v>1280</v>
      </c>
      <c r="CM6">
        <f t="shared" si="15"/>
        <v>1766.9863725490195</v>
      </c>
      <c r="CN6" s="23">
        <f t="shared" si="16"/>
        <v>2546</v>
      </c>
      <c r="CO6">
        <f t="shared" si="17"/>
        <v>2615.4496078431371</v>
      </c>
      <c r="CQ6" s="23">
        <f t="shared" si="18"/>
        <v>2733</v>
      </c>
      <c r="CR6" s="23">
        <f t="shared" si="19"/>
        <v>2615.4496078431371</v>
      </c>
    </row>
    <row r="7" spans="1:96" ht="29.25">
      <c r="A7" t="str">
        <f t="shared" si="0"/>
        <v>011</v>
      </c>
      <c r="B7">
        <f t="shared" si="3"/>
        <v>11</v>
      </c>
      <c r="C7" s="14" t="s">
        <v>14</v>
      </c>
      <c r="D7" s="11"/>
      <c r="E7" s="9">
        <f>SUM(4.87058823529412*0.5)</f>
        <v>2.4352941176470599</v>
      </c>
      <c r="F7" s="9">
        <v>7.9235294117647097</v>
      </c>
      <c r="G7" s="9">
        <v>5.5470588235294098</v>
      </c>
      <c r="H7" s="9">
        <v>15.488235294117599</v>
      </c>
      <c r="I7" s="9">
        <v>8.5</v>
      </c>
      <c r="J7" s="9">
        <v>15.329411764705901</v>
      </c>
      <c r="K7" s="9">
        <v>15.520588235294101</v>
      </c>
      <c r="L7" s="9">
        <v>13.141176470588199</v>
      </c>
      <c r="M7" s="9">
        <v>16.5760237141562</v>
      </c>
      <c r="N7" s="9">
        <v>11.8</v>
      </c>
      <c r="O7" s="9">
        <v>7.7676470588235302</v>
      </c>
      <c r="P7" s="9">
        <v>10.122306932014199</v>
      </c>
      <c r="Q7" s="9">
        <v>10.1970588235294</v>
      </c>
      <c r="R7" s="9">
        <v>0</v>
      </c>
      <c r="S7" s="9">
        <v>0</v>
      </c>
      <c r="T7" s="9">
        <v>0</v>
      </c>
      <c r="U7" s="9">
        <v>0</v>
      </c>
      <c r="V7" s="9">
        <v>0</v>
      </c>
      <c r="W7" s="9">
        <v>0</v>
      </c>
      <c r="X7" s="9">
        <v>0</v>
      </c>
      <c r="Y7" s="9">
        <v>0</v>
      </c>
      <c r="Z7" s="9">
        <v>0</v>
      </c>
      <c r="AA7" s="9">
        <v>0</v>
      </c>
      <c r="AB7" s="9">
        <v>0</v>
      </c>
      <c r="AC7" s="9">
        <v>0</v>
      </c>
      <c r="AD7" s="9">
        <v>0</v>
      </c>
      <c r="AE7" s="9">
        <v>0</v>
      </c>
      <c r="AF7" s="9">
        <v>0</v>
      </c>
      <c r="AG7" s="9">
        <v>0</v>
      </c>
      <c r="AH7" s="9">
        <v>0</v>
      </c>
      <c r="AI7" s="9">
        <v>0</v>
      </c>
      <c r="AJ7" s="9">
        <v>0</v>
      </c>
      <c r="AK7" s="9">
        <v>0</v>
      </c>
      <c r="AL7" s="9">
        <v>0</v>
      </c>
      <c r="AM7" s="9">
        <v>0</v>
      </c>
      <c r="AN7" s="9">
        <v>0</v>
      </c>
      <c r="AO7" s="9">
        <v>0</v>
      </c>
      <c r="AP7" s="9">
        <v>0</v>
      </c>
      <c r="AQ7" s="9">
        <v>0</v>
      </c>
      <c r="AR7" s="9">
        <v>0</v>
      </c>
      <c r="AS7" s="9">
        <v>0</v>
      </c>
      <c r="AT7" s="9">
        <v>0</v>
      </c>
      <c r="AU7" s="9">
        <v>0</v>
      </c>
      <c r="AV7" s="9">
        <v>0</v>
      </c>
      <c r="AW7" s="9">
        <v>0</v>
      </c>
      <c r="AX7" s="9">
        <f t="shared" si="4"/>
        <v>147.36574717847884</v>
      </c>
      <c r="AY7" s="9">
        <f t="shared" si="5"/>
        <v>32.963823529411719</v>
      </c>
      <c r="AZ7" s="9">
        <f t="shared" si="6"/>
        <v>41.881363455085484</v>
      </c>
      <c r="BA7" s="9">
        <f t="shared" si="7"/>
        <v>74.281323529411722</v>
      </c>
      <c r="BB7" s="9">
        <f t="shared" si="8"/>
        <v>73.084423649067105</v>
      </c>
      <c r="BC7" s="19"/>
      <c r="BD7" s="9">
        <v>87</v>
      </c>
      <c r="BF7" s="252">
        <v>66</v>
      </c>
      <c r="BH7" s="252">
        <v>25</v>
      </c>
      <c r="BI7" s="252">
        <f t="shared" si="9"/>
        <v>25</v>
      </c>
      <c r="BJ7" s="252">
        <f t="shared" si="10"/>
        <v>140.34833064617033</v>
      </c>
      <c r="BK7" s="256">
        <f t="shared" si="1"/>
        <v>25</v>
      </c>
      <c r="BP7" s="252">
        <v>9</v>
      </c>
      <c r="BQ7" s="252">
        <f t="shared" si="11"/>
        <v>9</v>
      </c>
      <c r="BR7" s="256">
        <f t="shared" si="12"/>
        <v>140.34833064617033</v>
      </c>
      <c r="BS7" s="255">
        <f t="shared" si="2"/>
        <v>9</v>
      </c>
      <c r="BU7" s="252">
        <v>0</v>
      </c>
      <c r="BW7" s="9">
        <v>15</v>
      </c>
      <c r="BX7" s="9">
        <v>12</v>
      </c>
      <c r="BY7" s="9">
        <v>8</v>
      </c>
      <c r="BZ7" s="9">
        <v>7</v>
      </c>
      <c r="CA7" s="9">
        <v>7</v>
      </c>
      <c r="CB7" s="9">
        <v>16</v>
      </c>
      <c r="CC7" s="9">
        <v>14</v>
      </c>
      <c r="CD7" s="9">
        <v>19</v>
      </c>
      <c r="CE7" s="9">
        <v>15</v>
      </c>
      <c r="CF7" s="9">
        <v>15</v>
      </c>
      <c r="CG7" s="9">
        <v>14</v>
      </c>
      <c r="CH7" s="9">
        <v>10</v>
      </c>
      <c r="CI7" s="9">
        <v>6</v>
      </c>
      <c r="CJ7" s="9">
        <v>10</v>
      </c>
      <c r="CK7" s="23">
        <f t="shared" si="13"/>
        <v>147</v>
      </c>
      <c r="CL7">
        <f t="shared" si="14"/>
        <v>28</v>
      </c>
      <c r="CM7">
        <f t="shared" si="15"/>
        <v>40</v>
      </c>
      <c r="CN7" s="23">
        <f t="shared" si="16"/>
        <v>77</v>
      </c>
      <c r="CO7">
        <f t="shared" si="17"/>
        <v>100</v>
      </c>
      <c r="CQ7" s="23">
        <f t="shared" si="18"/>
        <v>83</v>
      </c>
      <c r="CR7" s="23">
        <f t="shared" si="19"/>
        <v>70</v>
      </c>
    </row>
    <row r="8" spans="1:96" ht="29.25">
      <c r="A8" t="str">
        <f t="shared" si="0"/>
        <v>013</v>
      </c>
      <c r="B8">
        <f t="shared" si="3"/>
        <v>13</v>
      </c>
      <c r="C8" s="14" t="s">
        <v>15</v>
      </c>
      <c r="D8" s="11"/>
      <c r="E8" s="9">
        <f>SUM(14.2357142857143*0.5)</f>
        <v>7.11785714285715</v>
      </c>
      <c r="F8" s="9">
        <v>18.375</v>
      </c>
      <c r="G8" s="9">
        <v>22.35</v>
      </c>
      <c r="H8" s="9">
        <v>16.560714285714301</v>
      </c>
      <c r="I8" s="9">
        <v>20.7214285714286</v>
      </c>
      <c r="J8" s="9">
        <v>22.089285714285701</v>
      </c>
      <c r="K8" s="9">
        <v>25.975000000000001</v>
      </c>
      <c r="L8" s="9">
        <v>28.3556338028169</v>
      </c>
      <c r="M8" s="9">
        <v>14.1197183098592</v>
      </c>
      <c r="N8" s="9">
        <v>15.753521126760599</v>
      </c>
      <c r="O8" s="9">
        <v>17.911971830985902</v>
      </c>
      <c r="P8" s="9">
        <v>12.5140845070423</v>
      </c>
      <c r="Q8" s="9">
        <v>14.2816901408451</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f t="shared" si="4"/>
        <v>247.93220070422555</v>
      </c>
      <c r="AY8" s="9">
        <f t="shared" si="5"/>
        <v>67.62375000000003</v>
      </c>
      <c r="AZ8" s="9">
        <f t="shared" si="6"/>
        <v>63.484330985915598</v>
      </c>
      <c r="BA8" s="9">
        <f t="shared" si="7"/>
        <v>139.84875000000005</v>
      </c>
      <c r="BB8" s="9">
        <f t="shared" si="8"/>
        <v>108.0834507042255</v>
      </c>
      <c r="BC8" s="19"/>
      <c r="BD8" s="9">
        <v>129</v>
      </c>
      <c r="BF8" s="252">
        <v>144</v>
      </c>
      <c r="BH8" s="252">
        <v>27</v>
      </c>
      <c r="BI8" s="252">
        <f t="shared" si="9"/>
        <v>27</v>
      </c>
      <c r="BJ8" s="252">
        <f t="shared" si="10"/>
        <v>236.12590543259574</v>
      </c>
      <c r="BK8" s="256">
        <f t="shared" si="1"/>
        <v>27</v>
      </c>
      <c r="BP8" s="252">
        <v>0</v>
      </c>
      <c r="BQ8" s="252">
        <f t="shared" si="11"/>
        <v>0</v>
      </c>
      <c r="BR8" s="256">
        <f t="shared" si="12"/>
        <v>236.12590543259574</v>
      </c>
      <c r="BS8" s="255">
        <f t="shared" si="2"/>
        <v>0</v>
      </c>
      <c r="BU8" s="252">
        <v>0</v>
      </c>
      <c r="BW8" s="9">
        <v>0</v>
      </c>
      <c r="BX8" s="9">
        <v>18</v>
      </c>
      <c r="BY8" s="9">
        <v>18</v>
      </c>
      <c r="BZ8" s="9">
        <v>20</v>
      </c>
      <c r="CA8" s="9">
        <v>22</v>
      </c>
      <c r="CB8" s="9">
        <v>23</v>
      </c>
      <c r="CC8" s="9">
        <v>25</v>
      </c>
      <c r="CD8" s="9">
        <v>22</v>
      </c>
      <c r="CE8" s="9">
        <v>30</v>
      </c>
      <c r="CF8" s="9">
        <v>32</v>
      </c>
      <c r="CG8" s="9">
        <v>20</v>
      </c>
      <c r="CH8" s="9">
        <v>22</v>
      </c>
      <c r="CI8" s="9">
        <v>19</v>
      </c>
      <c r="CJ8" s="9">
        <v>10</v>
      </c>
      <c r="CK8" s="23">
        <f t="shared" si="13"/>
        <v>272</v>
      </c>
      <c r="CL8">
        <f t="shared" si="14"/>
        <v>69</v>
      </c>
      <c r="CM8">
        <f t="shared" si="15"/>
        <v>71</v>
      </c>
      <c r="CN8" s="23">
        <f t="shared" si="16"/>
        <v>139</v>
      </c>
      <c r="CO8">
        <f t="shared" si="17"/>
        <v>133</v>
      </c>
      <c r="CQ8" s="23">
        <f t="shared" si="18"/>
        <v>148</v>
      </c>
      <c r="CR8" s="23">
        <f t="shared" si="19"/>
        <v>133</v>
      </c>
    </row>
    <row r="9" spans="1:96" ht="29.25">
      <c r="A9" t="str">
        <f t="shared" si="0"/>
        <v>021</v>
      </c>
      <c r="B9">
        <f t="shared" si="3"/>
        <v>21</v>
      </c>
      <c r="C9" s="14" t="s">
        <v>16</v>
      </c>
      <c r="D9" s="11"/>
      <c r="E9" s="9">
        <f>SUM(72.3707369598079*0.5)</f>
        <v>36.18536847990395</v>
      </c>
      <c r="F9" s="9">
        <v>90.9409722222222</v>
      </c>
      <c r="G9" s="9">
        <v>87.875</v>
      </c>
      <c r="H9" s="9">
        <v>89.2569444444444</v>
      </c>
      <c r="I9" s="9">
        <v>102.788194444444</v>
      </c>
      <c r="J9" s="9">
        <v>93.9756944444444</v>
      </c>
      <c r="K9" s="9">
        <v>113.475528558444</v>
      </c>
      <c r="L9" s="9">
        <v>100.430555555556</v>
      </c>
      <c r="M9" s="9">
        <v>107.15625</v>
      </c>
      <c r="N9" s="9">
        <v>83.7847222222222</v>
      </c>
      <c r="O9" s="9">
        <v>93.3645833333333</v>
      </c>
      <c r="P9" s="9">
        <v>95.3645833333333</v>
      </c>
      <c r="Q9" s="9">
        <v>71.5347222222222</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f t="shared" si="4"/>
        <v>1224.4397752235984</v>
      </c>
      <c r="AY9" s="9">
        <f t="shared" si="5"/>
        <v>319.47119940389905</v>
      </c>
      <c r="AZ9" s="9">
        <f t="shared" si="6"/>
        <v>361.25104166666654</v>
      </c>
      <c r="BA9" s="9">
        <f t="shared" si="7"/>
        <v>645.22258772359805</v>
      </c>
      <c r="BB9" s="9">
        <f t="shared" si="8"/>
        <v>579.21718750000036</v>
      </c>
      <c r="BC9" s="19"/>
      <c r="BD9" s="9">
        <v>506</v>
      </c>
      <c r="BF9" s="252">
        <v>515</v>
      </c>
      <c r="BH9" s="252">
        <v>180</v>
      </c>
      <c r="BI9" s="252">
        <f t="shared" si="9"/>
        <v>180</v>
      </c>
      <c r="BJ9" s="252">
        <f t="shared" si="10"/>
        <v>1166.1331192605699</v>
      </c>
      <c r="BK9" s="256">
        <f t="shared" si="1"/>
        <v>180</v>
      </c>
      <c r="BP9" s="252">
        <v>0</v>
      </c>
      <c r="BQ9" s="252">
        <f t="shared" si="11"/>
        <v>0</v>
      </c>
      <c r="BR9" s="256">
        <f t="shared" si="12"/>
        <v>1166.1331192605699</v>
      </c>
      <c r="BS9" s="255">
        <f t="shared" si="2"/>
        <v>0</v>
      </c>
      <c r="BU9" s="252">
        <v>54</v>
      </c>
      <c r="BW9" s="9">
        <v>34</v>
      </c>
      <c r="BX9" s="9">
        <v>74</v>
      </c>
      <c r="BY9" s="9">
        <v>82</v>
      </c>
      <c r="BZ9" s="9">
        <v>94</v>
      </c>
      <c r="CA9" s="9">
        <v>91</v>
      </c>
      <c r="CB9" s="9">
        <v>85</v>
      </c>
      <c r="CC9" s="9">
        <v>111</v>
      </c>
      <c r="CD9" s="9">
        <v>101</v>
      </c>
      <c r="CE9" s="9">
        <v>120</v>
      </c>
      <c r="CF9" s="9">
        <v>110</v>
      </c>
      <c r="CG9" s="9">
        <v>119</v>
      </c>
      <c r="CH9" s="9">
        <v>84</v>
      </c>
      <c r="CI9" s="9">
        <v>97</v>
      </c>
      <c r="CJ9" s="9">
        <v>98</v>
      </c>
      <c r="CK9" s="23">
        <f t="shared" si="13"/>
        <v>1229</v>
      </c>
      <c r="CL9">
        <f t="shared" si="14"/>
        <v>304</v>
      </c>
      <c r="CM9">
        <f t="shared" si="15"/>
        <v>398</v>
      </c>
      <c r="CN9" s="23">
        <f t="shared" si="16"/>
        <v>601</v>
      </c>
      <c r="CO9">
        <f t="shared" si="17"/>
        <v>628</v>
      </c>
      <c r="CQ9" s="23">
        <f t="shared" si="18"/>
        <v>638</v>
      </c>
      <c r="CR9" s="23">
        <f t="shared" si="19"/>
        <v>628</v>
      </c>
    </row>
    <row r="10" spans="1:96" ht="29.25">
      <c r="A10" t="str">
        <f t="shared" si="0"/>
        <v>025</v>
      </c>
      <c r="B10">
        <f t="shared" si="3"/>
        <v>25</v>
      </c>
      <c r="C10" s="14" t="s">
        <v>17</v>
      </c>
      <c r="D10" s="11"/>
      <c r="E10" s="9">
        <f>SUM(839.627194628857*0.5)</f>
        <v>419.81359731442848</v>
      </c>
      <c r="F10" s="9">
        <v>881.80232558139505</v>
      </c>
      <c r="G10" s="9">
        <v>872.58720930232596</v>
      </c>
      <c r="H10" s="9">
        <v>859.94767441860495</v>
      </c>
      <c r="I10" s="9">
        <v>914.05813953488405</v>
      </c>
      <c r="J10" s="9">
        <v>900.70058139534899</v>
      </c>
      <c r="K10" s="9">
        <v>891.52325581395303</v>
      </c>
      <c r="L10" s="9">
        <v>928.00290697674404</v>
      </c>
      <c r="M10" s="9">
        <v>848.94476744185999</v>
      </c>
      <c r="N10" s="9">
        <v>971.13953488372101</v>
      </c>
      <c r="O10" s="9">
        <v>894.47093023255798</v>
      </c>
      <c r="P10" s="9">
        <v>865.91569767441899</v>
      </c>
      <c r="Q10" s="9">
        <v>742.90697674418595</v>
      </c>
      <c r="R10" s="9">
        <v>3.0301511864406798</v>
      </c>
      <c r="S10" s="9">
        <v>5.9133304651162799</v>
      </c>
      <c r="T10" s="9">
        <v>3.7953860465116298</v>
      </c>
      <c r="U10" s="9">
        <v>11.1504517977631</v>
      </c>
      <c r="V10" s="9">
        <v>27.378300081778701</v>
      </c>
      <c r="W10" s="9">
        <v>31.889296795661402</v>
      </c>
      <c r="X10" s="9">
        <v>56.315809248525298</v>
      </c>
      <c r="Y10" s="9">
        <v>0</v>
      </c>
      <c r="Z10" s="9">
        <v>0.2</v>
      </c>
      <c r="AA10" s="9">
        <v>0.2</v>
      </c>
      <c r="AB10" s="9">
        <v>0.85714285714285698</v>
      </c>
      <c r="AC10" s="9">
        <v>0.57142857142857095</v>
      </c>
      <c r="AD10" s="9">
        <v>1.04</v>
      </c>
      <c r="AE10" s="9">
        <v>1.8</v>
      </c>
      <c r="AF10" s="9">
        <v>1.39864864864865</v>
      </c>
      <c r="AG10" s="9">
        <v>0.80882352941176505</v>
      </c>
      <c r="AH10" s="9">
        <v>0</v>
      </c>
      <c r="AI10" s="9">
        <v>0</v>
      </c>
      <c r="AJ10" s="9">
        <v>0.592592592592593</v>
      </c>
      <c r="AK10" s="9">
        <v>0.25925925925925902</v>
      </c>
      <c r="AL10" s="9">
        <v>0.98148148148148195</v>
      </c>
      <c r="AM10" s="9">
        <v>1.42592592592593</v>
      </c>
      <c r="AN10" s="9">
        <v>2.31481481481481</v>
      </c>
      <c r="AO10" s="9">
        <v>1.12962962962963</v>
      </c>
      <c r="AP10" s="9">
        <v>0.42592592592592599</v>
      </c>
      <c r="AQ10" s="9">
        <v>2.1137254901960798</v>
      </c>
      <c r="AR10" s="9">
        <v>29.550980392156902</v>
      </c>
      <c r="AS10" s="9">
        <v>41.341176470588202</v>
      </c>
      <c r="AT10" s="9">
        <v>31.2803921568627</v>
      </c>
      <c r="AU10" s="9">
        <v>39.845098039215699</v>
      </c>
      <c r="AV10" s="9">
        <v>43.207843137254898</v>
      </c>
      <c r="AW10" s="9">
        <v>10.156862745098</v>
      </c>
      <c r="AX10" s="9">
        <f t="shared" si="4"/>
        <v>11909.927478334057</v>
      </c>
      <c r="AY10" s="9">
        <f t="shared" si="5"/>
        <v>3185.8583469475921</v>
      </c>
      <c r="AZ10" s="9">
        <f t="shared" si="6"/>
        <v>3922.8010101119708</v>
      </c>
      <c r="BA10" s="9">
        <f t="shared" si="7"/>
        <v>6033.897715261679</v>
      </c>
      <c r="BB10" s="9">
        <f t="shared" si="8"/>
        <v>5876.0297630723735</v>
      </c>
      <c r="BC10" s="19"/>
      <c r="BD10" s="9">
        <v>5855</v>
      </c>
      <c r="BF10" s="252">
        <v>6186</v>
      </c>
      <c r="BH10" s="252">
        <v>1396</v>
      </c>
      <c r="BI10" s="252">
        <f t="shared" si="9"/>
        <v>1396</v>
      </c>
      <c r="BJ10" s="252">
        <f t="shared" si="10"/>
        <v>10991.813597314427</v>
      </c>
      <c r="BK10" s="256">
        <f t="shared" si="1"/>
        <v>1396</v>
      </c>
      <c r="BP10" s="252">
        <v>126</v>
      </c>
      <c r="BQ10" s="252">
        <f t="shared" si="11"/>
        <v>126</v>
      </c>
      <c r="BR10" s="256">
        <f t="shared" si="12"/>
        <v>10991.813597314427</v>
      </c>
      <c r="BS10" s="255">
        <f t="shared" si="2"/>
        <v>126</v>
      </c>
      <c r="BU10" s="252">
        <v>1855</v>
      </c>
      <c r="BW10" s="9">
        <v>149</v>
      </c>
      <c r="BX10" s="9">
        <v>883</v>
      </c>
      <c r="BY10" s="9">
        <v>893</v>
      </c>
      <c r="BZ10" s="9">
        <v>943</v>
      </c>
      <c r="CA10" s="9">
        <v>922</v>
      </c>
      <c r="CB10" s="9">
        <v>931</v>
      </c>
      <c r="CC10" s="9">
        <v>966</v>
      </c>
      <c r="CD10" s="9">
        <v>964</v>
      </c>
      <c r="CE10" s="9">
        <v>964</v>
      </c>
      <c r="CF10" s="9">
        <v>1012</v>
      </c>
      <c r="CG10" s="9">
        <v>1021</v>
      </c>
      <c r="CH10" s="9">
        <v>1030</v>
      </c>
      <c r="CI10" s="9">
        <v>950</v>
      </c>
      <c r="CJ10" s="9">
        <v>979</v>
      </c>
      <c r="CK10" s="23">
        <f t="shared" si="13"/>
        <v>12067.65642701525</v>
      </c>
      <c r="CL10">
        <f t="shared" si="14"/>
        <v>3199.5</v>
      </c>
      <c r="CM10">
        <f t="shared" si="15"/>
        <v>4012.4466230936819</v>
      </c>
      <c r="CN10" s="23">
        <f t="shared" si="16"/>
        <v>6061.1765795206975</v>
      </c>
      <c r="CO10">
        <f t="shared" si="17"/>
        <v>6006.4798474945537</v>
      </c>
      <c r="CQ10" s="23">
        <f t="shared" si="18"/>
        <v>6502.6765795206975</v>
      </c>
      <c r="CR10" s="23">
        <f t="shared" si="19"/>
        <v>6006.4798474945537</v>
      </c>
    </row>
    <row r="11" spans="1:96" ht="29.25">
      <c r="A11" t="str">
        <f t="shared" si="0"/>
        <v>033</v>
      </c>
      <c r="B11">
        <f t="shared" si="3"/>
        <v>33</v>
      </c>
      <c r="C11" s="14" t="s">
        <v>18</v>
      </c>
      <c r="D11" s="11"/>
      <c r="E11" s="9">
        <f>SUM(87.0422535211268*0.5)</f>
        <v>43.521126760563398</v>
      </c>
      <c r="F11" s="9">
        <v>91.887323943661997</v>
      </c>
      <c r="G11" s="9">
        <v>106.82042253521099</v>
      </c>
      <c r="H11" s="9">
        <v>78.014084507042298</v>
      </c>
      <c r="I11" s="9">
        <v>88.845070422535201</v>
      </c>
      <c r="J11" s="9">
        <v>84.535211267605604</v>
      </c>
      <c r="K11" s="9">
        <v>86.353146853146896</v>
      </c>
      <c r="L11" s="9">
        <v>77.699300699300693</v>
      </c>
      <c r="M11" s="9">
        <v>85.472027972028002</v>
      </c>
      <c r="N11" s="9">
        <v>68.493006993007</v>
      </c>
      <c r="O11" s="9">
        <v>83.188811188811201</v>
      </c>
      <c r="P11" s="9">
        <v>64.223776223776198</v>
      </c>
      <c r="Q11" s="9">
        <v>77.335664335664305</v>
      </c>
      <c r="R11" s="9">
        <v>0</v>
      </c>
      <c r="S11" s="9">
        <v>0</v>
      </c>
      <c r="T11" s="9">
        <v>0</v>
      </c>
      <c r="U11" s="9">
        <v>1.02153846153846</v>
      </c>
      <c r="V11" s="9">
        <v>4.0922316518433002</v>
      </c>
      <c r="W11" s="9">
        <v>3.72027972027972</v>
      </c>
      <c r="X11" s="9">
        <v>2.41846153846154</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f t="shared" si="4"/>
        <v>1100.0235593282007</v>
      </c>
      <c r="AY11" s="9">
        <f t="shared" si="5"/>
        <v>336.25510563380266</v>
      </c>
      <c r="AZ11" s="9">
        <f t="shared" si="6"/>
        <v>319.71845861905086</v>
      </c>
      <c r="BA11" s="9">
        <f t="shared" si="7"/>
        <v>608.97520560425482</v>
      </c>
      <c r="BB11" s="9">
        <f t="shared" si="8"/>
        <v>491.04835372394598</v>
      </c>
      <c r="BC11" s="19"/>
      <c r="BD11" s="9">
        <v>528</v>
      </c>
      <c r="BF11" s="252">
        <v>497</v>
      </c>
      <c r="BH11" s="252">
        <v>154</v>
      </c>
      <c r="BI11" s="252">
        <f t="shared" si="9"/>
        <v>154</v>
      </c>
      <c r="BJ11" s="252">
        <f t="shared" si="10"/>
        <v>1036.3889737023537</v>
      </c>
      <c r="BK11" s="256">
        <f t="shared" si="1"/>
        <v>154</v>
      </c>
      <c r="BP11" s="252">
        <v>0</v>
      </c>
      <c r="BQ11" s="252">
        <f t="shared" si="11"/>
        <v>0</v>
      </c>
      <c r="BR11" s="256">
        <f t="shared" si="12"/>
        <v>1036.3889737023537</v>
      </c>
      <c r="BS11" s="255">
        <f t="shared" si="2"/>
        <v>0</v>
      </c>
      <c r="BU11" s="252">
        <v>195</v>
      </c>
      <c r="BW11" s="9">
        <v>21</v>
      </c>
      <c r="BX11" s="9">
        <v>97</v>
      </c>
      <c r="BY11" s="9">
        <v>94</v>
      </c>
      <c r="BZ11" s="9">
        <v>93</v>
      </c>
      <c r="CA11" s="9">
        <v>116</v>
      </c>
      <c r="CB11" s="9">
        <v>79</v>
      </c>
      <c r="CC11" s="9">
        <v>99</v>
      </c>
      <c r="CD11" s="9">
        <v>94</v>
      </c>
      <c r="CE11" s="9">
        <v>94</v>
      </c>
      <c r="CF11" s="9">
        <v>87</v>
      </c>
      <c r="CG11" s="9">
        <v>85</v>
      </c>
      <c r="CH11" s="9">
        <v>74</v>
      </c>
      <c r="CI11" s="9">
        <v>92</v>
      </c>
      <c r="CJ11" s="9">
        <v>72</v>
      </c>
      <c r="CK11" s="23">
        <f t="shared" si="13"/>
        <v>1127.5</v>
      </c>
      <c r="CL11">
        <f t="shared" si="14"/>
        <v>351.5</v>
      </c>
      <c r="CM11">
        <f t="shared" si="15"/>
        <v>323</v>
      </c>
      <c r="CN11" s="23">
        <f t="shared" si="16"/>
        <v>623.5</v>
      </c>
      <c r="CO11">
        <f t="shared" si="17"/>
        <v>504</v>
      </c>
      <c r="CQ11" s="23">
        <f t="shared" si="18"/>
        <v>672</v>
      </c>
      <c r="CR11" s="23">
        <f t="shared" si="19"/>
        <v>504</v>
      </c>
    </row>
    <row r="12" spans="1:96" ht="29.25">
      <c r="A12" t="str">
        <f t="shared" si="0"/>
        <v>041</v>
      </c>
      <c r="B12">
        <f t="shared" si="3"/>
        <v>41</v>
      </c>
      <c r="C12" s="14" t="s">
        <v>19</v>
      </c>
      <c r="D12" s="11"/>
      <c r="E12" s="9">
        <f>SUM(67.7940591504779*0.5)</f>
        <v>33.897029575238953</v>
      </c>
      <c r="F12" s="9">
        <v>63.118497109826599</v>
      </c>
      <c r="G12" s="9">
        <v>73.369942196531795</v>
      </c>
      <c r="H12" s="9">
        <v>72.450867052023099</v>
      </c>
      <c r="I12" s="9">
        <v>76.514450867052005</v>
      </c>
      <c r="J12" s="9">
        <v>75.404624277456605</v>
      </c>
      <c r="K12" s="9">
        <v>75.327059399809599</v>
      </c>
      <c r="L12" s="9">
        <v>65.265063876873597</v>
      </c>
      <c r="M12" s="9">
        <v>66.790229885057499</v>
      </c>
      <c r="N12" s="9">
        <v>78.28</v>
      </c>
      <c r="O12" s="9">
        <v>60.294285714285699</v>
      </c>
      <c r="P12" s="9">
        <v>75.282857142857097</v>
      </c>
      <c r="Q12" s="9">
        <v>50.354285714285702</v>
      </c>
      <c r="R12" s="9">
        <v>0</v>
      </c>
      <c r="S12" s="9">
        <v>0</v>
      </c>
      <c r="T12" s="9">
        <v>0</v>
      </c>
      <c r="U12" s="9">
        <v>0.776272727272727</v>
      </c>
      <c r="V12" s="9">
        <v>5.7178514285714304</v>
      </c>
      <c r="W12" s="9">
        <v>5.7800228571428596</v>
      </c>
      <c r="X12" s="9">
        <v>3.34998857142857</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f t="shared" si="4"/>
        <v>926.07199481549935</v>
      </c>
      <c r="AY12" s="9">
        <f t="shared" si="5"/>
        <v>254.97815273030147</v>
      </c>
      <c r="AZ12" s="9">
        <f t="shared" si="6"/>
        <v>293.82734236363626</v>
      </c>
      <c r="BA12" s="9">
        <f t="shared" si="7"/>
        <v>493.58659400183558</v>
      </c>
      <c r="BB12" s="9">
        <f t="shared" si="8"/>
        <v>432.48540081366394</v>
      </c>
      <c r="BC12" s="19"/>
      <c r="BD12" s="9">
        <v>488</v>
      </c>
      <c r="BF12" s="252">
        <v>495</v>
      </c>
      <c r="BH12" s="252">
        <v>139</v>
      </c>
      <c r="BI12" s="252">
        <f t="shared" si="9"/>
        <v>139</v>
      </c>
      <c r="BJ12" s="252">
        <f t="shared" si="10"/>
        <v>866.34919281129817</v>
      </c>
      <c r="BK12" s="256">
        <f t="shared" si="1"/>
        <v>139</v>
      </c>
      <c r="BP12" s="252" t="s">
        <v>239</v>
      </c>
      <c r="BQ12" s="252" t="str">
        <f t="shared" si="11"/>
        <v/>
      </c>
      <c r="BR12" s="256" t="str">
        <f t="shared" si="12"/>
        <v/>
      </c>
      <c r="BS12" s="255">
        <f t="shared" si="2"/>
        <v>77.811939343103845</v>
      </c>
      <c r="BU12" s="252">
        <v>0</v>
      </c>
      <c r="BW12" s="9">
        <v>25</v>
      </c>
      <c r="BX12" s="9">
        <v>74</v>
      </c>
      <c r="BY12" s="9">
        <v>76</v>
      </c>
      <c r="BZ12" s="9">
        <v>68</v>
      </c>
      <c r="CA12" s="9">
        <v>74</v>
      </c>
      <c r="CB12" s="9">
        <v>80</v>
      </c>
      <c r="CC12" s="9">
        <v>79</v>
      </c>
      <c r="CD12" s="9">
        <v>76</v>
      </c>
      <c r="CE12" s="9">
        <v>76</v>
      </c>
      <c r="CF12" s="9">
        <v>71</v>
      </c>
      <c r="CG12" s="9">
        <v>71</v>
      </c>
      <c r="CH12" s="9">
        <v>81</v>
      </c>
      <c r="CI12" s="9">
        <v>67</v>
      </c>
      <c r="CJ12" s="9">
        <v>84</v>
      </c>
      <c r="CK12" s="23">
        <f t="shared" si="13"/>
        <v>940</v>
      </c>
      <c r="CL12">
        <f t="shared" si="14"/>
        <v>255</v>
      </c>
      <c r="CM12">
        <f t="shared" si="15"/>
        <v>303</v>
      </c>
      <c r="CN12" s="23">
        <f t="shared" si="16"/>
        <v>490</v>
      </c>
      <c r="CO12">
        <f t="shared" si="17"/>
        <v>450</v>
      </c>
      <c r="CQ12" s="23">
        <f t="shared" si="18"/>
        <v>527</v>
      </c>
      <c r="CR12" s="23">
        <f t="shared" si="19"/>
        <v>450</v>
      </c>
    </row>
    <row r="13" spans="1:96" ht="43.5">
      <c r="A13" t="str">
        <f t="shared" si="0"/>
        <v>044</v>
      </c>
      <c r="B13">
        <f t="shared" si="3"/>
        <v>44</v>
      </c>
      <c r="C13" s="14" t="s">
        <v>20</v>
      </c>
      <c r="D13" s="11"/>
      <c r="E13" s="9">
        <f>SUM(27.6352941176471*0.5)</f>
        <v>13.81764705882355</v>
      </c>
      <c r="F13" s="9">
        <v>22.008823529411799</v>
      </c>
      <c r="G13" s="9">
        <v>31.461764705882398</v>
      </c>
      <c r="H13" s="9">
        <v>22.632352941176499</v>
      </c>
      <c r="I13" s="9">
        <v>18.8029411764706</v>
      </c>
      <c r="J13" s="9">
        <v>19.664705882352902</v>
      </c>
      <c r="K13" s="9">
        <v>27.779411764705898</v>
      </c>
      <c r="L13" s="9">
        <v>14.4029411764706</v>
      </c>
      <c r="M13" s="9">
        <v>32.344117647058802</v>
      </c>
      <c r="N13" s="9">
        <v>20.4411764705882</v>
      </c>
      <c r="O13" s="9">
        <v>27.15</v>
      </c>
      <c r="P13" s="9">
        <v>17.711764705882398</v>
      </c>
      <c r="Q13" s="9">
        <v>14.7911764705882</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f t="shared" si="4"/>
        <v>297.15926470588249</v>
      </c>
      <c r="AY13" s="9">
        <f t="shared" si="5"/>
        <v>94.416617647058956</v>
      </c>
      <c r="AZ13" s="9">
        <f t="shared" si="6"/>
        <v>84.098823529411732</v>
      </c>
      <c r="BA13" s="9">
        <f t="shared" si="7"/>
        <v>163.97602941176484</v>
      </c>
      <c r="BB13" s="9">
        <f t="shared" si="8"/>
        <v>133.18323529411762</v>
      </c>
      <c r="BC13" s="19"/>
      <c r="BD13" s="9">
        <v>254.4</v>
      </c>
      <c r="BF13" s="257">
        <v>151.78</v>
      </c>
      <c r="BH13" s="252">
        <v>76</v>
      </c>
      <c r="BI13" s="252">
        <f t="shared" si="9"/>
        <v>76</v>
      </c>
      <c r="BJ13" s="252">
        <f t="shared" si="10"/>
        <v>283.00882352941187</v>
      </c>
      <c r="BK13" s="256">
        <f t="shared" si="1"/>
        <v>76</v>
      </c>
      <c r="BP13" s="252">
        <v>0</v>
      </c>
      <c r="BQ13" s="252">
        <f t="shared" si="11"/>
        <v>0</v>
      </c>
      <c r="BR13" s="256">
        <f t="shared" si="12"/>
        <v>283.00882352941187</v>
      </c>
      <c r="BS13" s="255">
        <f t="shared" si="2"/>
        <v>0</v>
      </c>
      <c r="BU13" s="252">
        <v>0</v>
      </c>
      <c r="BW13" s="9">
        <v>18</v>
      </c>
      <c r="BX13" s="9">
        <v>25</v>
      </c>
      <c r="BY13" s="9">
        <v>24</v>
      </c>
      <c r="BZ13" s="9">
        <v>29</v>
      </c>
      <c r="CA13" s="9">
        <v>33</v>
      </c>
      <c r="CB13" s="9">
        <v>27</v>
      </c>
      <c r="CC13" s="9">
        <v>20</v>
      </c>
      <c r="CD13" s="9">
        <v>24</v>
      </c>
      <c r="CE13" s="9">
        <v>28</v>
      </c>
      <c r="CF13" s="9">
        <v>18</v>
      </c>
      <c r="CG13" s="9">
        <v>48</v>
      </c>
      <c r="CH13" s="9">
        <v>20</v>
      </c>
      <c r="CI13" s="9">
        <v>32</v>
      </c>
      <c r="CJ13" s="9">
        <v>25</v>
      </c>
      <c r="CK13" s="23">
        <f t="shared" si="13"/>
        <v>340.5</v>
      </c>
      <c r="CL13">
        <f t="shared" si="14"/>
        <v>98.5</v>
      </c>
      <c r="CM13">
        <f t="shared" si="15"/>
        <v>125</v>
      </c>
      <c r="CN13" s="23">
        <f t="shared" si="16"/>
        <v>169.5</v>
      </c>
      <c r="CO13">
        <f t="shared" si="17"/>
        <v>171</v>
      </c>
      <c r="CQ13" s="23">
        <f t="shared" si="18"/>
        <v>182</v>
      </c>
      <c r="CR13" s="23">
        <f t="shared" si="19"/>
        <v>171</v>
      </c>
    </row>
    <row r="14" spans="1:96" ht="29.25">
      <c r="A14" t="str">
        <f t="shared" si="0"/>
        <v>052</v>
      </c>
      <c r="B14">
        <f t="shared" si="3"/>
        <v>52</v>
      </c>
      <c r="C14" s="14" t="s">
        <v>21</v>
      </c>
      <c r="D14" s="11"/>
      <c r="E14" s="9">
        <f>SUM(113.541176470588*0.5)</f>
        <v>56.770588235293999</v>
      </c>
      <c r="F14" s="9">
        <v>111.304347826087</v>
      </c>
      <c r="G14" s="9">
        <v>130.213768115942</v>
      </c>
      <c r="H14" s="9">
        <v>123.52898550724601</v>
      </c>
      <c r="I14" s="9">
        <v>134.89130434782601</v>
      </c>
      <c r="J14" s="9">
        <v>133.14130434782601</v>
      </c>
      <c r="K14" s="9">
        <v>136.77536231884099</v>
      </c>
      <c r="L14" s="9">
        <v>122.380281690141</v>
      </c>
      <c r="M14" s="9">
        <v>140.58098591549299</v>
      </c>
      <c r="N14" s="9">
        <v>116.825</v>
      </c>
      <c r="O14" s="9">
        <v>136.78214285714299</v>
      </c>
      <c r="P14" s="9">
        <v>135.52121456263799</v>
      </c>
      <c r="Q14" s="9">
        <v>127.743691206617</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f t="shared" si="4"/>
        <v>1686.7819257776489</v>
      </c>
      <c r="AY14" s="9">
        <f t="shared" si="5"/>
        <v>442.90857416879749</v>
      </c>
      <c r="AZ14" s="9">
        <f t="shared" si="6"/>
        <v>542.71565105771788</v>
      </c>
      <c r="BA14" s="9">
        <f t="shared" si="7"/>
        <v>867.95694373401511</v>
      </c>
      <c r="BB14" s="9">
        <f t="shared" si="8"/>
        <v>818.82498204363355</v>
      </c>
      <c r="BC14" s="19"/>
      <c r="BD14" s="9">
        <v>649</v>
      </c>
      <c r="BF14" s="252">
        <v>606</v>
      </c>
      <c r="BH14" s="252">
        <v>183</v>
      </c>
      <c r="BI14" s="252">
        <f t="shared" si="9"/>
        <v>183</v>
      </c>
      <c r="BJ14" s="252">
        <f t="shared" si="10"/>
        <v>1606.4589769310942</v>
      </c>
      <c r="BK14" s="256">
        <f t="shared" si="1"/>
        <v>183</v>
      </c>
      <c r="BP14" s="252">
        <v>183</v>
      </c>
      <c r="BQ14" s="252">
        <f t="shared" si="11"/>
        <v>183</v>
      </c>
      <c r="BR14" s="256">
        <f t="shared" si="12"/>
        <v>1606.4589769310942</v>
      </c>
      <c r="BS14" s="255">
        <f t="shared" si="2"/>
        <v>183</v>
      </c>
      <c r="BU14" s="252">
        <v>92</v>
      </c>
      <c r="BW14" s="9">
        <v>16</v>
      </c>
      <c r="BX14" s="9">
        <v>113</v>
      </c>
      <c r="BY14" s="9">
        <v>128</v>
      </c>
      <c r="BZ14" s="9">
        <v>124</v>
      </c>
      <c r="CA14" s="9">
        <v>143</v>
      </c>
      <c r="CB14" s="9">
        <v>133</v>
      </c>
      <c r="CC14" s="9">
        <v>139</v>
      </c>
      <c r="CD14" s="9">
        <v>145</v>
      </c>
      <c r="CE14" s="9">
        <v>153</v>
      </c>
      <c r="CF14" s="9">
        <v>133</v>
      </c>
      <c r="CG14" s="9">
        <v>158</v>
      </c>
      <c r="CH14" s="9">
        <v>124</v>
      </c>
      <c r="CI14" s="9">
        <v>138</v>
      </c>
      <c r="CJ14" s="9">
        <v>131</v>
      </c>
      <c r="CK14" s="23">
        <f t="shared" si="13"/>
        <v>1705.5</v>
      </c>
      <c r="CL14">
        <f t="shared" si="14"/>
        <v>451.5</v>
      </c>
      <c r="CM14">
        <f t="shared" si="15"/>
        <v>551</v>
      </c>
      <c r="CN14" s="23">
        <f t="shared" si="16"/>
        <v>868.5</v>
      </c>
      <c r="CO14">
        <f t="shared" si="17"/>
        <v>837</v>
      </c>
      <c r="CQ14" s="23">
        <f t="shared" si="18"/>
        <v>925</v>
      </c>
      <c r="CR14" s="23">
        <f t="shared" si="19"/>
        <v>837</v>
      </c>
    </row>
    <row r="15" spans="1:96" ht="29.25">
      <c r="A15" t="str">
        <f t="shared" si="0"/>
        <v>055</v>
      </c>
      <c r="B15">
        <f t="shared" si="3"/>
        <v>55</v>
      </c>
      <c r="C15" s="14" t="s">
        <v>22</v>
      </c>
      <c r="D15" s="11"/>
      <c r="E15" s="9">
        <f>SUM(217.733694335289*0.5)</f>
        <v>108.86684716764449</v>
      </c>
      <c r="F15" s="9">
        <v>242.04703035156501</v>
      </c>
      <c r="G15" s="9">
        <v>262.22452500250199</v>
      </c>
      <c r="H15" s="9">
        <v>290.685797479249</v>
      </c>
      <c r="I15" s="9">
        <v>296.73587009900598</v>
      </c>
      <c r="J15" s="9">
        <v>283.56939092137497</v>
      </c>
      <c r="K15" s="9">
        <v>277.15002658710898</v>
      </c>
      <c r="L15" s="9">
        <v>306.38947804165599</v>
      </c>
      <c r="M15" s="9">
        <v>259.267441860465</v>
      </c>
      <c r="N15" s="9">
        <v>283.44797687861302</v>
      </c>
      <c r="O15" s="9">
        <v>277.58381502890199</v>
      </c>
      <c r="P15" s="9">
        <v>261.56647398843899</v>
      </c>
      <c r="Q15" s="9">
        <v>237.046242774566</v>
      </c>
      <c r="R15" s="9">
        <v>0</v>
      </c>
      <c r="S15" s="9">
        <v>2.7224979999999999</v>
      </c>
      <c r="T15" s="9">
        <v>3.9621801169590598</v>
      </c>
      <c r="U15" s="9">
        <v>12.228319619359301</v>
      </c>
      <c r="V15" s="9">
        <v>22.3914682086168</v>
      </c>
      <c r="W15" s="9">
        <v>33.049937309941498</v>
      </c>
      <c r="X15" s="9">
        <v>46.735936457097203</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19.776470588235298</v>
      </c>
      <c r="AS15" s="9">
        <v>13.588235294117601</v>
      </c>
      <c r="AT15" s="9">
        <v>10.988235294117599</v>
      </c>
      <c r="AU15" s="9">
        <v>2.94738431372549</v>
      </c>
      <c r="AV15" s="9">
        <v>7.4529058823529404</v>
      </c>
      <c r="AW15" s="9">
        <v>2.4646705882352902</v>
      </c>
      <c r="AX15" s="9">
        <f t="shared" si="4"/>
        <v>3743.1336157465425</v>
      </c>
      <c r="AY15" s="9">
        <f t="shared" si="5"/>
        <v>949.01541000100849</v>
      </c>
      <c r="AZ15" s="9">
        <f t="shared" si="6"/>
        <v>1257.7985346611645</v>
      </c>
      <c r="BA15" s="9">
        <f t="shared" si="7"/>
        <v>1849.3434619888731</v>
      </c>
      <c r="BB15" s="9">
        <f t="shared" si="8"/>
        <v>1893.790153757669</v>
      </c>
      <c r="BC15" s="19"/>
      <c r="BD15" s="9">
        <v>2158.1999999999998</v>
      </c>
      <c r="BF15" s="252">
        <v>2259</v>
      </c>
      <c r="BH15" s="252">
        <v>464</v>
      </c>
      <c r="BI15" s="252">
        <f t="shared" si="9"/>
        <v>464</v>
      </c>
      <c r="BJ15" s="252">
        <f t="shared" si="10"/>
        <v>3386.5809161810917</v>
      </c>
      <c r="BK15" s="256">
        <f t="shared" si="1"/>
        <v>464</v>
      </c>
      <c r="BP15" s="252">
        <v>515</v>
      </c>
      <c r="BQ15" s="252">
        <f t="shared" si="11"/>
        <v>515</v>
      </c>
      <c r="BR15" s="256">
        <f t="shared" si="12"/>
        <v>3386.5809161810917</v>
      </c>
      <c r="BS15" s="255">
        <f t="shared" si="2"/>
        <v>515</v>
      </c>
      <c r="BU15" s="252">
        <v>210</v>
      </c>
      <c r="BW15" s="9">
        <v>42</v>
      </c>
      <c r="BX15" s="9">
        <v>253</v>
      </c>
      <c r="BY15" s="9">
        <v>247</v>
      </c>
      <c r="BZ15" s="9">
        <v>249</v>
      </c>
      <c r="CA15" s="9">
        <v>267</v>
      </c>
      <c r="CB15" s="9">
        <v>290</v>
      </c>
      <c r="CC15" s="9">
        <v>323</v>
      </c>
      <c r="CD15" s="9">
        <v>282</v>
      </c>
      <c r="CE15" s="9">
        <v>296</v>
      </c>
      <c r="CF15" s="9">
        <v>325</v>
      </c>
      <c r="CG15" s="9">
        <v>329</v>
      </c>
      <c r="CH15" s="9">
        <v>304</v>
      </c>
      <c r="CI15" s="9">
        <v>308</v>
      </c>
      <c r="CJ15" s="9">
        <v>300</v>
      </c>
      <c r="CK15" s="23">
        <f t="shared" si="13"/>
        <v>3660.8044754901962</v>
      </c>
      <c r="CL15">
        <f t="shared" si="14"/>
        <v>889.5</v>
      </c>
      <c r="CM15">
        <f t="shared" si="15"/>
        <v>1246.9632990196078</v>
      </c>
      <c r="CN15" s="23">
        <f t="shared" si="16"/>
        <v>1784.5</v>
      </c>
      <c r="CO15">
        <f t="shared" si="17"/>
        <v>1876.304475490196</v>
      </c>
      <c r="CQ15" s="23">
        <f t="shared" si="18"/>
        <v>1911</v>
      </c>
      <c r="CR15" s="23">
        <f t="shared" si="19"/>
        <v>1876.304475490196</v>
      </c>
    </row>
    <row r="16" spans="1:96" ht="29.25">
      <c r="A16" t="str">
        <f t="shared" si="0"/>
        <v>058</v>
      </c>
      <c r="B16">
        <f t="shared" si="3"/>
        <v>58</v>
      </c>
      <c r="C16" s="14" t="s">
        <v>23</v>
      </c>
      <c r="D16" s="11"/>
      <c r="E16" s="9">
        <f>SUM(44.7319157046327*0.5)</f>
        <v>22.365957852316349</v>
      </c>
      <c r="F16" s="9">
        <v>49.203125</v>
      </c>
      <c r="G16" s="9">
        <v>57.534374999999997</v>
      </c>
      <c r="H16" s="9">
        <v>53.743749999999999</v>
      </c>
      <c r="I16" s="9">
        <v>55.034374999999997</v>
      </c>
      <c r="J16" s="9">
        <v>52.643749999999997</v>
      </c>
      <c r="K16" s="9">
        <v>62.119496855345901</v>
      </c>
      <c r="L16" s="9">
        <v>59.119496855345901</v>
      </c>
      <c r="M16" s="9">
        <v>52.634094616844699</v>
      </c>
      <c r="N16" s="9">
        <v>50.159374999999997</v>
      </c>
      <c r="O16" s="9">
        <v>48.184375000000003</v>
      </c>
      <c r="P16" s="9">
        <v>50.621875000000003</v>
      </c>
      <c r="Q16" s="9">
        <v>44.271875000000001</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f t="shared" si="4"/>
        <v>690.51771723884565</v>
      </c>
      <c r="AY16" s="9">
        <f t="shared" si="5"/>
        <v>191.98956824493217</v>
      </c>
      <c r="AZ16" s="9">
        <f t="shared" si="6"/>
        <v>202.89937499999999</v>
      </c>
      <c r="BA16" s="9">
        <f t="shared" si="7"/>
        <v>370.2770711930454</v>
      </c>
      <c r="BB16" s="9">
        <f t="shared" si="8"/>
        <v>320.24064604580013</v>
      </c>
      <c r="BC16" s="19"/>
      <c r="BD16" s="9">
        <v>649</v>
      </c>
      <c r="BF16" s="257">
        <v>314.31</v>
      </c>
      <c r="BH16" s="252">
        <v>127</v>
      </c>
      <c r="BI16" s="252">
        <f t="shared" si="9"/>
        <v>127</v>
      </c>
      <c r="BJ16" s="252">
        <f t="shared" si="10"/>
        <v>657.63592117985297</v>
      </c>
      <c r="BK16" s="256">
        <f t="shared" si="1"/>
        <v>127</v>
      </c>
      <c r="BP16" s="252">
        <v>219</v>
      </c>
      <c r="BQ16" s="252">
        <f t="shared" si="11"/>
        <v>219</v>
      </c>
      <c r="BR16" s="256">
        <f t="shared" si="12"/>
        <v>657.63592117985297</v>
      </c>
      <c r="BS16" s="255">
        <f t="shared" si="2"/>
        <v>219</v>
      </c>
      <c r="BU16" s="252">
        <v>31</v>
      </c>
      <c r="BW16" s="9">
        <v>9</v>
      </c>
      <c r="BX16" s="9">
        <v>58</v>
      </c>
      <c r="BY16" s="9">
        <v>54</v>
      </c>
      <c r="BZ16" s="9">
        <v>53</v>
      </c>
      <c r="CA16" s="9">
        <v>59</v>
      </c>
      <c r="CB16" s="9">
        <v>58</v>
      </c>
      <c r="CC16" s="9">
        <v>57</v>
      </c>
      <c r="CD16" s="9">
        <v>57</v>
      </c>
      <c r="CE16" s="9">
        <v>65</v>
      </c>
      <c r="CF16" s="9">
        <v>61</v>
      </c>
      <c r="CG16" s="9">
        <v>56</v>
      </c>
      <c r="CH16" s="9">
        <v>53</v>
      </c>
      <c r="CI16" s="9">
        <v>51</v>
      </c>
      <c r="CJ16" s="9">
        <v>49</v>
      </c>
      <c r="CK16" s="23">
        <f t="shared" si="13"/>
        <v>702</v>
      </c>
      <c r="CL16">
        <f t="shared" si="14"/>
        <v>195</v>
      </c>
      <c r="CM16">
        <f t="shared" si="15"/>
        <v>209</v>
      </c>
      <c r="CN16" s="23">
        <f t="shared" si="16"/>
        <v>367</v>
      </c>
      <c r="CO16">
        <f t="shared" si="17"/>
        <v>335</v>
      </c>
      <c r="CQ16" s="23">
        <f t="shared" si="18"/>
        <v>396</v>
      </c>
      <c r="CR16" s="23">
        <f t="shared" si="19"/>
        <v>335</v>
      </c>
    </row>
    <row r="17" spans="1:96" ht="29.25">
      <c r="A17" t="str">
        <f t="shared" si="0"/>
        <v>059</v>
      </c>
      <c r="B17">
        <f t="shared" si="3"/>
        <v>59</v>
      </c>
      <c r="C17" s="14" t="s">
        <v>24</v>
      </c>
      <c r="D17" s="11"/>
      <c r="E17" s="9">
        <f>SUM(51.8875219683656*0.5)</f>
        <v>25.943760984182799</v>
      </c>
      <c r="F17" s="9">
        <v>51.8506944444444</v>
      </c>
      <c r="G17" s="9">
        <v>72.4583333333333</v>
      </c>
      <c r="H17" s="9">
        <v>55.2916666666667</v>
      </c>
      <c r="I17" s="9">
        <v>56.7291666666667</v>
      </c>
      <c r="J17" s="9">
        <v>62.8506944444444</v>
      </c>
      <c r="K17" s="9">
        <v>63.2638888888889</v>
      </c>
      <c r="L17" s="9">
        <v>72.3854166666667</v>
      </c>
      <c r="M17" s="9">
        <v>49.1979166666667</v>
      </c>
      <c r="N17" s="9">
        <v>60.3819444444444</v>
      </c>
      <c r="O17" s="9">
        <v>69.829734897019407</v>
      </c>
      <c r="P17" s="9">
        <v>52.2013888888889</v>
      </c>
      <c r="Q17" s="9">
        <v>48.6423611111111</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f t="shared" si="4"/>
        <v>778.07831650859555</v>
      </c>
      <c r="AY17" s="9">
        <f t="shared" si="5"/>
        <v>215.82167820005859</v>
      </c>
      <c r="AZ17" s="9">
        <f t="shared" si="6"/>
        <v>242.60820080853702</v>
      </c>
      <c r="BA17" s="9">
        <f t="shared" si="7"/>
        <v>407.80761570005859</v>
      </c>
      <c r="BB17" s="9">
        <f t="shared" si="8"/>
        <v>370.27070080853707</v>
      </c>
      <c r="BC17" s="19"/>
      <c r="BD17" s="9">
        <v>371</v>
      </c>
      <c r="BF17" s="252">
        <v>397</v>
      </c>
      <c r="BH17" s="252">
        <v>58</v>
      </c>
      <c r="BI17" s="252">
        <f t="shared" si="9"/>
        <v>58</v>
      </c>
      <c r="BJ17" s="252">
        <f t="shared" si="10"/>
        <v>741.02696810342434</v>
      </c>
      <c r="BK17" s="256">
        <f t="shared" si="1"/>
        <v>58</v>
      </c>
      <c r="BP17" s="252">
        <v>0</v>
      </c>
      <c r="BQ17" s="252">
        <f t="shared" si="11"/>
        <v>0</v>
      </c>
      <c r="BR17" s="256">
        <f t="shared" si="12"/>
        <v>741.02696810342434</v>
      </c>
      <c r="BS17" s="255">
        <f t="shared" si="2"/>
        <v>0</v>
      </c>
      <c r="BU17" s="252">
        <v>0</v>
      </c>
      <c r="BW17" s="9">
        <v>9</v>
      </c>
      <c r="BX17" s="9">
        <v>64</v>
      </c>
      <c r="BY17" s="9">
        <v>60</v>
      </c>
      <c r="BZ17" s="9">
        <v>55</v>
      </c>
      <c r="CA17" s="9">
        <v>80</v>
      </c>
      <c r="CB17" s="9">
        <v>63</v>
      </c>
      <c r="CC17" s="9">
        <v>58</v>
      </c>
      <c r="CD17" s="9">
        <v>73</v>
      </c>
      <c r="CE17" s="9">
        <v>68</v>
      </c>
      <c r="CF17" s="9">
        <v>74</v>
      </c>
      <c r="CG17" s="9">
        <v>57</v>
      </c>
      <c r="CH17" s="9">
        <v>62</v>
      </c>
      <c r="CI17" s="9">
        <v>75</v>
      </c>
      <c r="CJ17" s="9">
        <v>54</v>
      </c>
      <c r="CK17" s="23">
        <f t="shared" si="13"/>
        <v>811</v>
      </c>
      <c r="CL17">
        <f t="shared" si="14"/>
        <v>227</v>
      </c>
      <c r="CM17">
        <f t="shared" si="15"/>
        <v>248</v>
      </c>
      <c r="CN17" s="23">
        <f t="shared" si="16"/>
        <v>421</v>
      </c>
      <c r="CO17">
        <f t="shared" si="17"/>
        <v>390</v>
      </c>
      <c r="CQ17" s="23">
        <f t="shared" si="18"/>
        <v>453</v>
      </c>
      <c r="CR17" s="23">
        <f t="shared" si="19"/>
        <v>390</v>
      </c>
    </row>
    <row r="18" spans="1:96" ht="29.25">
      <c r="A18" t="str">
        <f t="shared" si="0"/>
        <v>060</v>
      </c>
      <c r="B18">
        <f t="shared" si="3"/>
        <v>60</v>
      </c>
      <c r="C18" s="14" t="s">
        <v>25</v>
      </c>
      <c r="D18" s="11"/>
      <c r="E18" s="9">
        <f>SUM(155.371212121212*0.5)</f>
        <v>77.685606060606005</v>
      </c>
      <c r="F18" s="9">
        <v>170.60660660660699</v>
      </c>
      <c r="G18" s="9">
        <v>181.16216216216199</v>
      </c>
      <c r="H18" s="9">
        <v>173.80180180180199</v>
      </c>
      <c r="I18" s="9">
        <v>181.027027027027</v>
      </c>
      <c r="J18" s="9">
        <v>169.70238095238099</v>
      </c>
      <c r="K18" s="9">
        <v>162.30059523809501</v>
      </c>
      <c r="L18" s="9">
        <v>178.03903903903901</v>
      </c>
      <c r="M18" s="9">
        <v>172.18918918918899</v>
      </c>
      <c r="N18" s="9">
        <v>144.97597597597601</v>
      </c>
      <c r="O18" s="9">
        <v>173.41441441441401</v>
      </c>
      <c r="P18" s="9">
        <v>150.846846846847</v>
      </c>
      <c r="Q18" s="9">
        <v>146.07807807807799</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f t="shared" si="4"/>
        <v>2185.9212095618345</v>
      </c>
      <c r="AY18" s="9">
        <f t="shared" si="5"/>
        <v>633.4189854627358</v>
      </c>
      <c r="AZ18" s="9">
        <f t="shared" si="6"/>
        <v>646.08108108108081</v>
      </c>
      <c r="BA18" s="9">
        <f t="shared" si="7"/>
        <v>1172.1004888411139</v>
      </c>
      <c r="BB18" s="9">
        <f t="shared" si="8"/>
        <v>1013.8207207207203</v>
      </c>
      <c r="BC18" s="19"/>
      <c r="BD18" s="9">
        <v>956</v>
      </c>
      <c r="BF18" s="252">
        <v>1013</v>
      </c>
      <c r="BH18" s="252">
        <v>244</v>
      </c>
      <c r="BI18" s="252">
        <f t="shared" si="9"/>
        <v>244</v>
      </c>
      <c r="BJ18" s="252">
        <f t="shared" si="10"/>
        <v>2081.8297233922231</v>
      </c>
      <c r="BK18" s="256">
        <f t="shared" si="1"/>
        <v>244</v>
      </c>
      <c r="BP18" s="252">
        <v>109</v>
      </c>
      <c r="BQ18" s="252">
        <f t="shared" si="11"/>
        <v>109</v>
      </c>
      <c r="BR18" s="256">
        <f t="shared" si="12"/>
        <v>2081.8297233922231</v>
      </c>
      <c r="BS18" s="255">
        <f t="shared" si="2"/>
        <v>109</v>
      </c>
      <c r="BU18" s="252">
        <v>99</v>
      </c>
      <c r="BW18" s="9">
        <v>18</v>
      </c>
      <c r="BX18" s="9">
        <v>184</v>
      </c>
      <c r="BY18" s="9">
        <v>180</v>
      </c>
      <c r="BZ18" s="9">
        <v>183</v>
      </c>
      <c r="CA18" s="9">
        <v>197</v>
      </c>
      <c r="CB18" s="9">
        <v>189</v>
      </c>
      <c r="CC18" s="9">
        <v>195</v>
      </c>
      <c r="CD18" s="9">
        <v>184</v>
      </c>
      <c r="CE18" s="9">
        <v>173</v>
      </c>
      <c r="CF18" s="9">
        <v>191</v>
      </c>
      <c r="CG18" s="9">
        <v>179</v>
      </c>
      <c r="CH18" s="9">
        <v>152</v>
      </c>
      <c r="CI18" s="9">
        <v>174</v>
      </c>
      <c r="CJ18" s="9">
        <v>152</v>
      </c>
      <c r="CK18" s="23">
        <f t="shared" si="13"/>
        <v>2241</v>
      </c>
      <c r="CL18">
        <f t="shared" si="14"/>
        <v>652</v>
      </c>
      <c r="CM18">
        <f t="shared" si="15"/>
        <v>657</v>
      </c>
      <c r="CN18" s="23">
        <f t="shared" si="16"/>
        <v>1220</v>
      </c>
      <c r="CO18">
        <f t="shared" si="17"/>
        <v>1021</v>
      </c>
      <c r="CQ18" s="23">
        <f t="shared" si="18"/>
        <v>1312</v>
      </c>
      <c r="CR18" s="23">
        <f t="shared" si="19"/>
        <v>1021</v>
      </c>
    </row>
    <row r="19" spans="1:96" ht="29.25">
      <c r="A19" t="str">
        <f t="shared" si="0"/>
        <v>061</v>
      </c>
      <c r="B19">
        <f t="shared" si="3"/>
        <v>61</v>
      </c>
      <c r="C19" s="14" t="s">
        <v>26</v>
      </c>
      <c r="D19" s="11"/>
      <c r="E19" s="9">
        <f>SUM(217.542069889451*0.5)</f>
        <v>108.7710349447255</v>
      </c>
      <c r="F19" s="9">
        <v>202.20366342328199</v>
      </c>
      <c r="G19" s="9">
        <v>219.58396921043101</v>
      </c>
      <c r="H19" s="9">
        <v>237.79107402573001</v>
      </c>
      <c r="I19" s="9">
        <v>254.19376216708801</v>
      </c>
      <c r="J19" s="9">
        <v>274.673156784149</v>
      </c>
      <c r="K19" s="9">
        <v>257.79886370292297</v>
      </c>
      <c r="L19" s="9">
        <v>284.95867091994103</v>
      </c>
      <c r="M19" s="9">
        <v>236.12929712103201</v>
      </c>
      <c r="N19" s="9">
        <v>238.339732801259</v>
      </c>
      <c r="O19" s="9">
        <v>249.75890811840699</v>
      </c>
      <c r="P19" s="9">
        <v>228.43435158609299</v>
      </c>
      <c r="Q19" s="9">
        <v>198.685760337239</v>
      </c>
      <c r="R19" s="9">
        <v>0</v>
      </c>
      <c r="S19" s="9">
        <v>0</v>
      </c>
      <c r="T19" s="9">
        <v>0</v>
      </c>
      <c r="U19" s="9">
        <v>6.8174970760233897</v>
      </c>
      <c r="V19" s="9">
        <v>14.5973694149735</v>
      </c>
      <c r="W19" s="9">
        <v>12.8198947368421</v>
      </c>
      <c r="X19" s="9">
        <v>18.540421052631601</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f t="shared" si="4"/>
        <v>3196.302298793908</v>
      </c>
      <c r="AY19" s="9">
        <f t="shared" si="5"/>
        <v>806.76722868437696</v>
      </c>
      <c r="AZ19" s="9">
        <f t="shared" si="6"/>
        <v>1016.393631879642</v>
      </c>
      <c r="BA19" s="9">
        <f t="shared" si="7"/>
        <v>1632.7663004712449</v>
      </c>
      <c r="BB19" s="9">
        <f t="shared" si="8"/>
        <v>1563.5359983226635</v>
      </c>
      <c r="BC19" s="19"/>
      <c r="BD19" s="9">
        <v>1184</v>
      </c>
      <c r="BF19" s="252">
        <v>988</v>
      </c>
      <c r="BH19" s="252">
        <v>410</v>
      </c>
      <c r="BI19" s="252">
        <f t="shared" si="9"/>
        <v>410</v>
      </c>
      <c r="BJ19" s="252">
        <f t="shared" si="10"/>
        <v>2991.3222451422989</v>
      </c>
      <c r="BK19" s="256">
        <f t="shared" si="1"/>
        <v>410</v>
      </c>
      <c r="BP19" s="252">
        <v>773</v>
      </c>
      <c r="BQ19" s="252">
        <f t="shared" si="11"/>
        <v>773</v>
      </c>
      <c r="BR19" s="256">
        <f t="shared" si="12"/>
        <v>2991.3222451422989</v>
      </c>
      <c r="BS19" s="255">
        <f t="shared" si="2"/>
        <v>773</v>
      </c>
      <c r="BU19" s="252">
        <v>249</v>
      </c>
      <c r="BW19" s="9">
        <v>102</v>
      </c>
      <c r="BX19" s="9">
        <v>207</v>
      </c>
      <c r="BY19" s="9">
        <v>234</v>
      </c>
      <c r="BZ19" s="9">
        <v>224</v>
      </c>
      <c r="CA19" s="9">
        <v>230</v>
      </c>
      <c r="CB19" s="9">
        <v>252</v>
      </c>
      <c r="CC19" s="9">
        <v>269</v>
      </c>
      <c r="CD19" s="9">
        <v>285</v>
      </c>
      <c r="CE19" s="9">
        <v>292</v>
      </c>
      <c r="CF19" s="9">
        <v>304</v>
      </c>
      <c r="CG19" s="9">
        <v>260</v>
      </c>
      <c r="CH19" s="9">
        <v>264</v>
      </c>
      <c r="CI19" s="9">
        <v>277</v>
      </c>
      <c r="CJ19" s="9">
        <v>264</v>
      </c>
      <c r="CK19" s="23">
        <f t="shared" si="13"/>
        <v>3258.5</v>
      </c>
      <c r="CL19">
        <f t="shared" si="14"/>
        <v>791.5</v>
      </c>
      <c r="CM19">
        <f t="shared" si="15"/>
        <v>1065</v>
      </c>
      <c r="CN19" s="23">
        <f t="shared" si="16"/>
        <v>1597.5</v>
      </c>
      <c r="CO19">
        <f t="shared" si="17"/>
        <v>1661</v>
      </c>
      <c r="CQ19" s="23">
        <f t="shared" si="18"/>
        <v>1701</v>
      </c>
      <c r="CR19" s="23">
        <f t="shared" si="19"/>
        <v>1661</v>
      </c>
    </row>
    <row r="20" spans="1:96" ht="29.25">
      <c r="A20" t="str">
        <f t="shared" si="0"/>
        <v>071</v>
      </c>
      <c r="B20">
        <f t="shared" si="3"/>
        <v>71</v>
      </c>
      <c r="C20" s="14" t="s">
        <v>27</v>
      </c>
      <c r="D20" s="11"/>
      <c r="E20" s="9">
        <f>SUM(15.851724137931*0.5)</f>
        <v>7.9258620689655004</v>
      </c>
      <c r="F20" s="9">
        <v>15.972413793103399</v>
      </c>
      <c r="G20" s="9">
        <v>19.651724137931001</v>
      </c>
      <c r="H20" s="9">
        <v>16.9931034482759</v>
      </c>
      <c r="I20" s="9">
        <v>17.172413793103399</v>
      </c>
      <c r="J20" s="9">
        <v>21.275862068965498</v>
      </c>
      <c r="K20" s="9">
        <v>19.7655172413793</v>
      </c>
      <c r="L20" s="9">
        <v>16.3379310344828</v>
      </c>
      <c r="M20" s="9">
        <v>16.7655172413793</v>
      </c>
      <c r="N20" s="9">
        <v>20.782758620689702</v>
      </c>
      <c r="O20" s="9">
        <v>18.8310344827586</v>
      </c>
      <c r="P20" s="9">
        <v>10.075862068965501</v>
      </c>
      <c r="Q20" s="9">
        <v>21.8</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f t="shared" si="4"/>
        <v>234.51749999999996</v>
      </c>
      <c r="AY20" s="9">
        <f t="shared" si="5"/>
        <v>63.570258620689593</v>
      </c>
      <c r="AZ20" s="9">
        <f t="shared" si="6"/>
        <v>75.064137931034494</v>
      </c>
      <c r="BA20" s="9">
        <f t="shared" si="7"/>
        <v>124.6947413793102</v>
      </c>
      <c r="BB20" s="9">
        <f t="shared" si="8"/>
        <v>109.8227586206897</v>
      </c>
      <c r="BC20" s="19"/>
      <c r="BD20" s="9">
        <v>127</v>
      </c>
      <c r="BF20" s="252">
        <v>107</v>
      </c>
      <c r="BH20" s="252">
        <v>32</v>
      </c>
      <c r="BI20" s="252">
        <f t="shared" si="9"/>
        <v>32</v>
      </c>
      <c r="BJ20" s="252">
        <f t="shared" si="10"/>
        <v>223.34999999999994</v>
      </c>
      <c r="BK20" s="256">
        <f t="shared" si="1"/>
        <v>32</v>
      </c>
      <c r="BP20" s="252">
        <v>0</v>
      </c>
      <c r="BQ20" s="252">
        <f t="shared" si="11"/>
        <v>0</v>
      </c>
      <c r="BR20" s="256">
        <f t="shared" si="12"/>
        <v>223.34999999999994</v>
      </c>
      <c r="BS20" s="255">
        <f t="shared" si="2"/>
        <v>0</v>
      </c>
      <c r="BU20" s="252">
        <v>4</v>
      </c>
      <c r="BW20" s="9">
        <v>18</v>
      </c>
      <c r="BX20" s="9">
        <v>16</v>
      </c>
      <c r="BY20" s="9">
        <v>18</v>
      </c>
      <c r="BZ20" s="9">
        <v>18</v>
      </c>
      <c r="CA20" s="9">
        <v>24</v>
      </c>
      <c r="CB20" s="9">
        <v>19</v>
      </c>
      <c r="CC20" s="9">
        <v>21</v>
      </c>
      <c r="CD20" s="9">
        <v>24</v>
      </c>
      <c r="CE20" s="9">
        <v>23</v>
      </c>
      <c r="CF20" s="9">
        <v>16</v>
      </c>
      <c r="CG20" s="9">
        <v>18</v>
      </c>
      <c r="CH20" s="9">
        <v>19</v>
      </c>
      <c r="CI20" s="9">
        <v>21</v>
      </c>
      <c r="CJ20" s="9">
        <v>10</v>
      </c>
      <c r="CK20" s="23">
        <f t="shared" si="13"/>
        <v>239</v>
      </c>
      <c r="CL20">
        <f t="shared" si="14"/>
        <v>68</v>
      </c>
      <c r="CM20">
        <f t="shared" si="15"/>
        <v>68</v>
      </c>
      <c r="CN20" s="23">
        <f t="shared" si="16"/>
        <v>132</v>
      </c>
      <c r="CO20">
        <f t="shared" si="17"/>
        <v>107</v>
      </c>
      <c r="CQ20" s="23">
        <f t="shared" si="18"/>
        <v>140</v>
      </c>
      <c r="CR20" s="23">
        <f t="shared" si="19"/>
        <v>107</v>
      </c>
    </row>
    <row r="21" spans="1:96" ht="29.25">
      <c r="A21" t="str">
        <f t="shared" si="0"/>
        <v>072</v>
      </c>
      <c r="B21">
        <f t="shared" si="3"/>
        <v>72</v>
      </c>
      <c r="C21" s="14" t="s">
        <v>28</v>
      </c>
      <c r="D21" s="11"/>
      <c r="E21" s="9">
        <f>SUM(17.1142857142857*0.5)</f>
        <v>8.5571428571428498</v>
      </c>
      <c r="F21" s="9">
        <v>14.521472392638</v>
      </c>
      <c r="G21" s="9">
        <v>20.073619631901799</v>
      </c>
      <c r="H21" s="9">
        <v>23.6441717791411</v>
      </c>
      <c r="I21" s="9">
        <v>22.604294478527599</v>
      </c>
      <c r="J21" s="9">
        <v>26.276073619631902</v>
      </c>
      <c r="K21" s="9">
        <v>25.978527607362</v>
      </c>
      <c r="L21" s="9">
        <v>23.9018404907975</v>
      </c>
      <c r="M21" s="9">
        <v>28.450920245398802</v>
      </c>
      <c r="N21" s="9">
        <v>33.0306748466258</v>
      </c>
      <c r="O21" s="9">
        <v>30.009202453987701</v>
      </c>
      <c r="P21" s="9">
        <v>28.684049079754601</v>
      </c>
      <c r="Q21" s="9">
        <v>24.3558282208589</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f t="shared" si="4"/>
        <v>325.59220858895696</v>
      </c>
      <c r="AY21" s="9">
        <f t="shared" si="5"/>
        <v>70.136226993864938</v>
      </c>
      <c r="AZ21" s="9">
        <f t="shared" si="6"/>
        <v>121.88374233128835</v>
      </c>
      <c r="BA21" s="9">
        <f t="shared" si="7"/>
        <v>148.73806748466254</v>
      </c>
      <c r="BB21" s="9">
        <f t="shared" si="8"/>
        <v>176.85414110429451</v>
      </c>
      <c r="BC21" s="19"/>
      <c r="BD21" s="9">
        <v>131</v>
      </c>
      <c r="BF21" s="252">
        <v>127</v>
      </c>
      <c r="BH21" s="252">
        <v>45</v>
      </c>
      <c r="BI21" s="252">
        <f t="shared" si="9"/>
        <v>45</v>
      </c>
      <c r="BJ21" s="252">
        <f t="shared" si="10"/>
        <v>310.08781770376851</v>
      </c>
      <c r="BK21" s="256">
        <f t="shared" si="1"/>
        <v>45</v>
      </c>
      <c r="BP21" s="252">
        <v>0</v>
      </c>
      <c r="BQ21" s="252">
        <f t="shared" si="11"/>
        <v>0</v>
      </c>
      <c r="BR21" s="256">
        <f t="shared" si="12"/>
        <v>310.08781770376851</v>
      </c>
      <c r="BS21" s="255">
        <f t="shared" si="2"/>
        <v>0</v>
      </c>
      <c r="BU21" s="252">
        <v>6</v>
      </c>
      <c r="BW21" s="9">
        <v>5</v>
      </c>
      <c r="BX21" s="9">
        <v>19</v>
      </c>
      <c r="BY21" s="9">
        <v>21</v>
      </c>
      <c r="BZ21" s="9">
        <v>14</v>
      </c>
      <c r="CA21" s="9">
        <v>23</v>
      </c>
      <c r="CB21" s="9">
        <v>23</v>
      </c>
      <c r="CC21" s="9">
        <v>22</v>
      </c>
      <c r="CD21" s="9">
        <v>28</v>
      </c>
      <c r="CE21" s="9">
        <v>26</v>
      </c>
      <c r="CF21" s="9">
        <v>28</v>
      </c>
      <c r="CG21" s="9">
        <v>35</v>
      </c>
      <c r="CH21" s="9">
        <v>33</v>
      </c>
      <c r="CI21" s="9">
        <v>33</v>
      </c>
      <c r="CJ21" s="9">
        <v>32</v>
      </c>
      <c r="CK21" s="23">
        <f t="shared" si="13"/>
        <v>327.5</v>
      </c>
      <c r="CL21">
        <f t="shared" si="14"/>
        <v>67.5</v>
      </c>
      <c r="CM21">
        <f t="shared" si="15"/>
        <v>133</v>
      </c>
      <c r="CN21" s="23">
        <f t="shared" si="16"/>
        <v>140.5</v>
      </c>
      <c r="CO21">
        <f t="shared" si="17"/>
        <v>187</v>
      </c>
      <c r="CQ21" s="23">
        <f t="shared" si="18"/>
        <v>150</v>
      </c>
      <c r="CR21" s="23">
        <f t="shared" si="19"/>
        <v>187</v>
      </c>
    </row>
    <row r="22" spans="1:96" ht="29.25">
      <c r="A22" t="str">
        <f t="shared" si="0"/>
        <v>073</v>
      </c>
      <c r="B22">
        <f t="shared" si="3"/>
        <v>73</v>
      </c>
      <c r="C22" s="14" t="s">
        <v>29</v>
      </c>
      <c r="D22" s="11"/>
      <c r="E22" s="9">
        <f>SUM(10.151724137931*0.5)</f>
        <v>5.0758620689654999</v>
      </c>
      <c r="F22" s="9">
        <v>14.2241379310345</v>
      </c>
      <c r="G22" s="9">
        <v>16.3758620689655</v>
      </c>
      <c r="H22" s="9">
        <v>14.148275862068999</v>
      </c>
      <c r="I22" s="9">
        <v>16.534482758620701</v>
      </c>
      <c r="J22" s="9">
        <v>12.9862068965517</v>
      </c>
      <c r="K22" s="9">
        <v>17.475862068965501</v>
      </c>
      <c r="L22" s="9">
        <v>19.3172413793103</v>
      </c>
      <c r="M22" s="9">
        <v>18.968965517241401</v>
      </c>
      <c r="N22" s="9">
        <v>17.924137931034501</v>
      </c>
      <c r="O22" s="9">
        <v>17.1241379310345</v>
      </c>
      <c r="P22" s="9">
        <v>21.8758620689655</v>
      </c>
      <c r="Q22" s="9">
        <v>11.6758620689655</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f t="shared" si="4"/>
        <v>213.89224137931032</v>
      </c>
      <c r="AY22" s="9">
        <f t="shared" si="5"/>
        <v>52.31534482758623</v>
      </c>
      <c r="AZ22" s="9">
        <f t="shared" si="6"/>
        <v>72.030000000000015</v>
      </c>
      <c r="BA22" s="9">
        <f t="shared" si="7"/>
        <v>101.66172413793102</v>
      </c>
      <c r="BB22" s="9">
        <f t="shared" si="8"/>
        <v>112.2305172413793</v>
      </c>
      <c r="BC22" s="19"/>
      <c r="BD22" s="9">
        <v>111</v>
      </c>
      <c r="BF22" s="252">
        <v>95</v>
      </c>
      <c r="BH22" s="252">
        <v>35</v>
      </c>
      <c r="BI22" s="252">
        <f t="shared" si="9"/>
        <v>35</v>
      </c>
      <c r="BJ22" s="252">
        <f t="shared" si="10"/>
        <v>203.7068965517241</v>
      </c>
      <c r="BK22" s="256">
        <f t="shared" si="1"/>
        <v>35</v>
      </c>
      <c r="BP22" s="252" t="s">
        <v>239</v>
      </c>
      <c r="BQ22" s="252" t="str">
        <f t="shared" si="11"/>
        <v/>
      </c>
      <c r="BR22" s="256" t="str">
        <f t="shared" si="12"/>
        <v/>
      </c>
      <c r="BS22" s="255">
        <f t="shared" si="2"/>
        <v>18.296119866885128</v>
      </c>
      <c r="BU22" s="252">
        <v>0</v>
      </c>
      <c r="BW22" s="9">
        <v>13</v>
      </c>
      <c r="BX22" s="9">
        <v>20</v>
      </c>
      <c r="BY22" s="9">
        <v>10</v>
      </c>
      <c r="BZ22" s="9">
        <v>15</v>
      </c>
      <c r="CA22" s="9">
        <v>20</v>
      </c>
      <c r="CB22" s="9">
        <v>16</v>
      </c>
      <c r="CC22" s="9">
        <v>17</v>
      </c>
      <c r="CD22" s="9">
        <v>17</v>
      </c>
      <c r="CE22" s="9">
        <v>20</v>
      </c>
      <c r="CF22" s="9">
        <v>19</v>
      </c>
      <c r="CG22" s="9">
        <v>19</v>
      </c>
      <c r="CH22" s="9">
        <v>22</v>
      </c>
      <c r="CI22" s="9">
        <v>14</v>
      </c>
      <c r="CJ22" s="9">
        <v>21</v>
      </c>
      <c r="CK22" s="23">
        <f t="shared" si="13"/>
        <v>220</v>
      </c>
      <c r="CL22">
        <f t="shared" si="14"/>
        <v>55</v>
      </c>
      <c r="CM22">
        <f t="shared" si="15"/>
        <v>76</v>
      </c>
      <c r="CN22" s="23">
        <f t="shared" si="16"/>
        <v>105</v>
      </c>
      <c r="CO22">
        <f t="shared" si="17"/>
        <v>115</v>
      </c>
      <c r="CQ22" s="23">
        <f t="shared" si="18"/>
        <v>115</v>
      </c>
      <c r="CR22" s="23">
        <f t="shared" si="19"/>
        <v>115</v>
      </c>
    </row>
    <row r="23" spans="1:96" ht="29.25">
      <c r="A23" t="str">
        <f t="shared" si="0"/>
        <v>083</v>
      </c>
      <c r="B23">
        <f t="shared" si="3"/>
        <v>83</v>
      </c>
      <c r="C23" s="14" t="s">
        <v>30</v>
      </c>
      <c r="D23" s="11"/>
      <c r="E23" s="9">
        <f>SUM(56.8266753564685*0.5)</f>
        <v>28.413337678234249</v>
      </c>
      <c r="F23" s="9">
        <v>77.934578977772006</v>
      </c>
      <c r="G23" s="9">
        <v>74.896053698204497</v>
      </c>
      <c r="H23" s="9">
        <v>95.871509686217607</v>
      </c>
      <c r="I23" s="9">
        <v>74.387866583835006</v>
      </c>
      <c r="J23" s="9">
        <v>78.850359262730393</v>
      </c>
      <c r="K23" s="9">
        <v>80.763810194928197</v>
      </c>
      <c r="L23" s="9">
        <v>67.023809523809504</v>
      </c>
      <c r="M23" s="9">
        <v>75.693452380952394</v>
      </c>
      <c r="N23" s="9">
        <v>64.284023668639094</v>
      </c>
      <c r="O23" s="9">
        <v>80.118343195266306</v>
      </c>
      <c r="P23" s="9">
        <v>73.215976331360906</v>
      </c>
      <c r="Q23" s="9">
        <v>57.017751479289899</v>
      </c>
      <c r="R23" s="9">
        <v>0</v>
      </c>
      <c r="S23" s="9">
        <v>0</v>
      </c>
      <c r="T23" s="9">
        <v>0</v>
      </c>
      <c r="U23" s="9">
        <v>0.57043478260869596</v>
      </c>
      <c r="V23" s="9">
        <v>1.4672380952380999</v>
      </c>
      <c r="W23" s="9">
        <v>4.6220238095238102</v>
      </c>
      <c r="X23" s="9">
        <v>3.7905952380952401</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2.1666666666666701</v>
      </c>
      <c r="AU23" s="9">
        <v>3.4666666666666699</v>
      </c>
      <c r="AV23" s="9">
        <v>3.0333333333333301</v>
      </c>
      <c r="AW23" s="9">
        <v>0.43333333333333302</v>
      </c>
      <c r="AX23" s="9">
        <f t="shared" si="4"/>
        <v>995.42222281604131</v>
      </c>
      <c r="AY23" s="9">
        <f t="shared" si="5"/>
        <v>290.97125404244974</v>
      </c>
      <c r="AZ23" s="9">
        <f t="shared" si="6"/>
        <v>308.89570593002315</v>
      </c>
      <c r="BA23" s="9">
        <f t="shared" si="7"/>
        <v>536.67339188601807</v>
      </c>
      <c r="BB23" s="9">
        <f t="shared" si="8"/>
        <v>458.74883093002319</v>
      </c>
      <c r="BC23" s="19"/>
      <c r="BD23" s="9">
        <v>538</v>
      </c>
      <c r="BF23" s="252">
        <v>509</v>
      </c>
      <c r="BH23" s="252">
        <v>160</v>
      </c>
      <c r="BI23" s="252">
        <f t="shared" si="9"/>
        <v>160</v>
      </c>
      <c r="BJ23" s="252">
        <f t="shared" si="10"/>
        <v>928.47087266124015</v>
      </c>
      <c r="BK23" s="256">
        <f t="shared" si="1"/>
        <v>160</v>
      </c>
      <c r="BP23" s="252" t="s">
        <v>239</v>
      </c>
      <c r="BQ23" s="252" t="str">
        <f t="shared" si="11"/>
        <v/>
      </c>
      <c r="BR23" s="256" t="str">
        <f t="shared" si="12"/>
        <v/>
      </c>
      <c r="BS23" s="255">
        <v>0</v>
      </c>
      <c r="BU23" s="252">
        <v>49</v>
      </c>
      <c r="BW23" s="9">
        <v>12</v>
      </c>
      <c r="BX23" s="9">
        <v>56</v>
      </c>
      <c r="BY23" s="9">
        <v>71</v>
      </c>
      <c r="BZ23" s="9">
        <v>75</v>
      </c>
      <c r="CA23" s="9">
        <v>78</v>
      </c>
      <c r="CB23" s="9">
        <v>95</v>
      </c>
      <c r="CC23" s="9">
        <v>72</v>
      </c>
      <c r="CD23" s="9">
        <v>79</v>
      </c>
      <c r="CE23" s="9">
        <v>76</v>
      </c>
      <c r="CF23" s="9">
        <v>71</v>
      </c>
      <c r="CG23" s="9">
        <v>79</v>
      </c>
      <c r="CH23" s="9">
        <v>63</v>
      </c>
      <c r="CI23" s="9">
        <v>81</v>
      </c>
      <c r="CJ23" s="9">
        <v>71</v>
      </c>
      <c r="CK23" s="23">
        <f t="shared" si="13"/>
        <v>941.27499999999998</v>
      </c>
      <c r="CL23">
        <f t="shared" si="14"/>
        <v>252</v>
      </c>
      <c r="CM23">
        <f t="shared" si="15"/>
        <v>296.27499999999998</v>
      </c>
      <c r="CN23" s="23">
        <f t="shared" si="16"/>
        <v>498</v>
      </c>
      <c r="CO23">
        <f t="shared" si="17"/>
        <v>443.27499999999998</v>
      </c>
      <c r="CQ23" s="23">
        <f t="shared" si="18"/>
        <v>526</v>
      </c>
      <c r="CR23" s="23">
        <f t="shared" si="19"/>
        <v>443.27499999999998</v>
      </c>
    </row>
    <row r="24" spans="1:96" ht="29.25">
      <c r="A24" t="str">
        <f t="shared" si="0"/>
        <v>084</v>
      </c>
      <c r="B24">
        <f t="shared" si="3"/>
        <v>84</v>
      </c>
      <c r="C24" s="14" t="s">
        <v>31</v>
      </c>
      <c r="D24" s="11"/>
      <c r="E24" s="9">
        <f>SUM(214.803571428571*0.5)</f>
        <v>107.4017857142855</v>
      </c>
      <c r="F24" s="9">
        <v>244.05059523809501</v>
      </c>
      <c r="G24" s="9">
        <v>256.29761904761898</v>
      </c>
      <c r="H24" s="9">
        <v>286.30059523809501</v>
      </c>
      <c r="I24" s="9">
        <v>282.80357142857099</v>
      </c>
      <c r="J24" s="9">
        <v>277.88095238095201</v>
      </c>
      <c r="K24" s="9">
        <v>245.92857142857099</v>
      </c>
      <c r="L24" s="9">
        <v>254.51039026801999</v>
      </c>
      <c r="M24" s="9">
        <v>229.856441462253</v>
      </c>
      <c r="N24" s="9">
        <v>280.61011904761898</v>
      </c>
      <c r="O24" s="9">
        <v>262.205357142857</v>
      </c>
      <c r="P24" s="9">
        <v>219.21428571428601</v>
      </c>
      <c r="Q24" s="9">
        <v>223.29761904761901</v>
      </c>
      <c r="R24" s="9">
        <v>0</v>
      </c>
      <c r="S24" s="9">
        <v>0</v>
      </c>
      <c r="T24" s="9">
        <v>0</v>
      </c>
      <c r="U24" s="9">
        <v>13.6321714285714</v>
      </c>
      <c r="V24" s="9">
        <v>16.327702899597998</v>
      </c>
      <c r="W24" s="9">
        <v>27.015502790500101</v>
      </c>
      <c r="X24" s="9">
        <v>17.093440476190501</v>
      </c>
      <c r="Y24" s="9">
        <v>0</v>
      </c>
      <c r="Z24" s="9">
        <v>0</v>
      </c>
      <c r="AA24" s="9">
        <v>0</v>
      </c>
      <c r="AB24" s="9">
        <v>0.35</v>
      </c>
      <c r="AC24" s="9">
        <v>0.75757575757575801</v>
      </c>
      <c r="AD24" s="9">
        <v>0.73809523809523803</v>
      </c>
      <c r="AE24" s="9">
        <v>0.89805825242718496</v>
      </c>
      <c r="AF24" s="9">
        <v>0.90804597701149403</v>
      </c>
      <c r="AG24" s="9">
        <v>1</v>
      </c>
      <c r="AH24" s="9">
        <v>0</v>
      </c>
      <c r="AI24" s="9">
        <v>0</v>
      </c>
      <c r="AJ24" s="9">
        <v>0</v>
      </c>
      <c r="AK24" s="9">
        <v>0.77142857142857102</v>
      </c>
      <c r="AL24" s="9">
        <v>0.71428571428571397</v>
      </c>
      <c r="AM24" s="9">
        <v>0</v>
      </c>
      <c r="AN24" s="9">
        <v>1.02857142857143</v>
      </c>
      <c r="AO24" s="9">
        <v>0.97142857142857097</v>
      </c>
      <c r="AP24" s="9">
        <v>0.371428571428571</v>
      </c>
      <c r="AQ24" s="9">
        <v>0</v>
      </c>
      <c r="AR24" s="9">
        <v>3.9411764705882399</v>
      </c>
      <c r="AS24" s="9">
        <v>1.03137254901961</v>
      </c>
      <c r="AT24" s="9">
        <v>0</v>
      </c>
      <c r="AU24" s="9">
        <v>2.2019607843137301</v>
      </c>
      <c r="AV24" s="9">
        <v>4.0941176470588196</v>
      </c>
      <c r="AW24" s="9">
        <v>4.2725490196078404</v>
      </c>
      <c r="AX24" s="9">
        <f t="shared" si="4"/>
        <v>3431.9006560718713</v>
      </c>
      <c r="AY24" s="9">
        <f t="shared" si="5"/>
        <v>938.75312499999927</v>
      </c>
      <c r="AZ24" s="9">
        <f t="shared" si="6"/>
        <v>1129.674476739043</v>
      </c>
      <c r="BA24" s="9">
        <f t="shared" si="7"/>
        <v>1785.696874999998</v>
      </c>
      <c r="BB24" s="9">
        <f t="shared" si="8"/>
        <v>1646.2037810718725</v>
      </c>
      <c r="BC24" s="19"/>
      <c r="BD24" s="9">
        <v>1400</v>
      </c>
      <c r="BF24" s="252">
        <v>1272</v>
      </c>
      <c r="BH24" s="252">
        <v>460</v>
      </c>
      <c r="BI24" s="252">
        <f t="shared" si="9"/>
        <v>460</v>
      </c>
      <c r="BJ24" s="252">
        <f t="shared" si="10"/>
        <v>3170.357903158842</v>
      </c>
      <c r="BK24" s="256">
        <f t="shared" si="1"/>
        <v>460</v>
      </c>
      <c r="BP24" s="252">
        <v>53</v>
      </c>
      <c r="BQ24" s="252">
        <f t="shared" si="11"/>
        <v>53</v>
      </c>
      <c r="BR24" s="256">
        <f t="shared" si="12"/>
        <v>3170.357903158842</v>
      </c>
      <c r="BS24" s="255">
        <f t="shared" si="2"/>
        <v>53</v>
      </c>
      <c r="BU24" s="252">
        <v>0</v>
      </c>
      <c r="BW24" s="9">
        <v>42</v>
      </c>
      <c r="BX24" s="9">
        <v>254</v>
      </c>
      <c r="BY24" s="9">
        <v>265</v>
      </c>
      <c r="BZ24" s="9">
        <v>291</v>
      </c>
      <c r="CA24" s="9">
        <v>299</v>
      </c>
      <c r="CB24" s="9">
        <v>321</v>
      </c>
      <c r="CC24" s="9">
        <v>334</v>
      </c>
      <c r="CD24" s="9">
        <v>291</v>
      </c>
      <c r="CE24" s="9">
        <v>276</v>
      </c>
      <c r="CF24" s="9">
        <v>285</v>
      </c>
      <c r="CG24" s="9">
        <v>282</v>
      </c>
      <c r="CH24" s="9">
        <v>319</v>
      </c>
      <c r="CI24" s="9">
        <v>306</v>
      </c>
      <c r="CJ24" s="9">
        <v>276</v>
      </c>
      <c r="CK24" s="23">
        <f t="shared" si="13"/>
        <v>3676.8495798319327</v>
      </c>
      <c r="CL24">
        <f t="shared" si="14"/>
        <v>982</v>
      </c>
      <c r="CM24">
        <f t="shared" si="15"/>
        <v>1186.2350140056024</v>
      </c>
      <c r="CN24" s="23">
        <f t="shared" si="16"/>
        <v>1928</v>
      </c>
      <c r="CO24">
        <f t="shared" si="17"/>
        <v>1748.8495798319327</v>
      </c>
      <c r="CQ24" s="23">
        <f t="shared" si="18"/>
        <v>2055</v>
      </c>
      <c r="CR24" s="23">
        <f t="shared" si="19"/>
        <v>1748.8495798319327</v>
      </c>
    </row>
    <row r="25" spans="1:96" ht="29.25">
      <c r="A25" t="str">
        <f t="shared" si="0"/>
        <v>091</v>
      </c>
      <c r="B25">
        <f t="shared" si="3"/>
        <v>91</v>
      </c>
      <c r="C25" s="14" t="s">
        <v>32</v>
      </c>
      <c r="D25" s="11"/>
      <c r="E25" s="9">
        <f>SUM(680.709219858156*0.5)</f>
        <v>340.35460992907798</v>
      </c>
      <c r="F25" s="9">
        <v>683.54310344827604</v>
      </c>
      <c r="G25" s="9">
        <v>711.31609195402302</v>
      </c>
      <c r="H25" s="9">
        <v>726.71551724137896</v>
      </c>
      <c r="I25" s="9">
        <v>756.63505747126396</v>
      </c>
      <c r="J25" s="9">
        <v>766.47988505747105</v>
      </c>
      <c r="K25" s="9">
        <v>692.54597701149396</v>
      </c>
      <c r="L25" s="9">
        <v>795.99401854205701</v>
      </c>
      <c r="M25" s="9">
        <v>715.06234382252501</v>
      </c>
      <c r="N25" s="9">
        <v>781.81520757731505</v>
      </c>
      <c r="O25" s="9">
        <v>719.97976878612701</v>
      </c>
      <c r="P25" s="9">
        <v>662.02601156069397</v>
      </c>
      <c r="Q25" s="9">
        <v>542.36280022566098</v>
      </c>
      <c r="R25" s="9">
        <v>0</v>
      </c>
      <c r="S25" s="9">
        <v>0</v>
      </c>
      <c r="T25" s="9">
        <v>0</v>
      </c>
      <c r="U25" s="9">
        <v>4.7144335632183898</v>
      </c>
      <c r="V25" s="9">
        <v>19.2909287356322</v>
      </c>
      <c r="W25" s="9">
        <v>37.938721926183298</v>
      </c>
      <c r="X25" s="9">
        <v>58.140105089829802</v>
      </c>
      <c r="Y25" s="9">
        <v>0.33333333333333298</v>
      </c>
      <c r="Z25" s="9">
        <v>0</v>
      </c>
      <c r="AA25" s="9">
        <v>0.64</v>
      </c>
      <c r="AB25" s="9">
        <v>0.84126984126984095</v>
      </c>
      <c r="AC25" s="9">
        <v>0.86666666666666703</v>
      </c>
      <c r="AD25" s="9">
        <v>4.9828571428571404</v>
      </c>
      <c r="AE25" s="9">
        <v>3.7828571428571398</v>
      </c>
      <c r="AF25" s="9">
        <v>4.84</v>
      </c>
      <c r="AG25" s="9">
        <v>1.29838709677419</v>
      </c>
      <c r="AH25" s="9">
        <v>0</v>
      </c>
      <c r="AI25" s="9">
        <v>0</v>
      </c>
      <c r="AJ25" s="9">
        <v>0</v>
      </c>
      <c r="AK25" s="9">
        <v>1.6065573770491799</v>
      </c>
      <c r="AL25" s="9">
        <v>1.36065573770492</v>
      </c>
      <c r="AM25" s="9">
        <v>2.3278688524590199</v>
      </c>
      <c r="AN25" s="9">
        <v>6.7704918032786896</v>
      </c>
      <c r="AO25" s="9">
        <v>4.6229508196721296</v>
      </c>
      <c r="AP25" s="9">
        <v>0.72131147540983598</v>
      </c>
      <c r="AQ25" s="9">
        <v>0</v>
      </c>
      <c r="AR25" s="9">
        <v>1.27058823529412</v>
      </c>
      <c r="AS25" s="9">
        <v>5.6411764705882401</v>
      </c>
      <c r="AT25" s="9">
        <v>27.613725490196099</v>
      </c>
      <c r="AU25" s="9">
        <v>29.283333333333299</v>
      </c>
      <c r="AV25" s="9">
        <v>37.423529411764697</v>
      </c>
      <c r="AW25" s="9">
        <v>17.865686274509802</v>
      </c>
      <c r="AX25" s="9">
        <f t="shared" si="4"/>
        <v>9627.458219869608</v>
      </c>
      <c r="AY25" s="9">
        <f t="shared" si="5"/>
        <v>2585.025788701394</v>
      </c>
      <c r="AZ25" s="9">
        <f t="shared" si="6"/>
        <v>3116.1910251231611</v>
      </c>
      <c r="BA25" s="9">
        <f t="shared" si="7"/>
        <v>4912.491754218634</v>
      </c>
      <c r="BB25" s="9">
        <f t="shared" si="8"/>
        <v>4714.966465650974</v>
      </c>
      <c r="BC25" s="19"/>
      <c r="BD25" s="9">
        <v>4642</v>
      </c>
      <c r="BF25" s="252">
        <v>4472</v>
      </c>
      <c r="BH25" s="252">
        <v>1183</v>
      </c>
      <c r="BI25" s="252">
        <f t="shared" si="9"/>
        <v>1183</v>
      </c>
      <c r="BJ25" s="252">
        <f t="shared" si="10"/>
        <v>8894.8303926273638</v>
      </c>
      <c r="BK25" s="256">
        <f t="shared" si="1"/>
        <v>1183</v>
      </c>
      <c r="BP25" s="252">
        <v>797</v>
      </c>
      <c r="BQ25" s="252">
        <f t="shared" si="11"/>
        <v>797</v>
      </c>
      <c r="BR25" s="256">
        <f t="shared" si="12"/>
        <v>8894.8303926273638</v>
      </c>
      <c r="BS25" s="255">
        <f t="shared" si="2"/>
        <v>797</v>
      </c>
      <c r="BU25" s="252">
        <v>493</v>
      </c>
      <c r="BW25" s="9">
        <v>127</v>
      </c>
      <c r="BX25" s="9">
        <v>687</v>
      </c>
      <c r="BY25" s="9">
        <v>740</v>
      </c>
      <c r="BZ25" s="9">
        <v>733</v>
      </c>
      <c r="CA25" s="9">
        <v>756</v>
      </c>
      <c r="CB25" s="9">
        <v>773</v>
      </c>
      <c r="CC25" s="9">
        <v>810</v>
      </c>
      <c r="CD25" s="9">
        <v>825</v>
      </c>
      <c r="CE25" s="9">
        <v>785</v>
      </c>
      <c r="CF25" s="9">
        <v>830</v>
      </c>
      <c r="CG25" s="9">
        <v>798</v>
      </c>
      <c r="CH25" s="9">
        <v>835</v>
      </c>
      <c r="CI25" s="9">
        <v>793</v>
      </c>
      <c r="CJ25" s="9">
        <v>742</v>
      </c>
      <c r="CK25" s="23">
        <f t="shared" si="13"/>
        <v>9797.6269688203156</v>
      </c>
      <c r="CL25">
        <f t="shared" si="14"/>
        <v>2572.5</v>
      </c>
      <c r="CM25">
        <f t="shared" si="15"/>
        <v>3199.6572243651558</v>
      </c>
      <c r="CN25" s="23">
        <f t="shared" si="16"/>
        <v>4980.5</v>
      </c>
      <c r="CO25">
        <f t="shared" si="17"/>
        <v>4817.1269688203147</v>
      </c>
      <c r="CQ25" s="23">
        <f t="shared" si="18"/>
        <v>5324</v>
      </c>
      <c r="CR25" s="23">
        <f t="shared" si="19"/>
        <v>4817.1269688203147</v>
      </c>
    </row>
    <row r="26" spans="1:96" ht="43.5">
      <c r="A26" t="str">
        <f t="shared" si="0"/>
        <v>092</v>
      </c>
      <c r="B26">
        <f t="shared" si="3"/>
        <v>92</v>
      </c>
      <c r="C26" s="14" t="s">
        <v>33</v>
      </c>
      <c r="D26" s="11"/>
      <c r="E26" s="9">
        <f>SUM(3.89506172839506*0.5)</f>
        <v>1.94753086419753</v>
      </c>
      <c r="F26" s="9">
        <v>2.87654320987654</v>
      </c>
      <c r="G26" s="9">
        <v>0.98148148148148195</v>
      </c>
      <c r="H26" s="9">
        <v>4.8703703703703702</v>
      </c>
      <c r="I26" s="9">
        <v>5.6543209876543203</v>
      </c>
      <c r="J26" s="9">
        <v>4.9969135802469102</v>
      </c>
      <c r="K26" s="9">
        <v>3.69753086419753</v>
      </c>
      <c r="L26" s="9">
        <v>5.7345679012345698</v>
      </c>
      <c r="M26" s="9">
        <v>5.7654320987654302</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f t="shared" si="4"/>
        <v>38.350925925925921</v>
      </c>
      <c r="AY26" s="9">
        <f t="shared" si="5"/>
        <v>11.209722222222219</v>
      </c>
      <c r="AZ26" s="9">
        <f t="shared" si="6"/>
        <v>0</v>
      </c>
      <c r="BA26" s="9">
        <f t="shared" si="7"/>
        <v>26.275925925925918</v>
      </c>
      <c r="BB26" s="9">
        <f t="shared" si="8"/>
        <v>12.075000000000001</v>
      </c>
      <c r="BC26" s="19"/>
      <c r="BD26" s="9">
        <v>18</v>
      </c>
      <c r="BF26" s="252">
        <v>22</v>
      </c>
      <c r="BH26" s="252">
        <v>10</v>
      </c>
      <c r="BI26" s="252">
        <f t="shared" si="9"/>
        <v>10</v>
      </c>
      <c r="BJ26" s="252">
        <f t="shared" si="10"/>
        <v>36.524691358024683</v>
      </c>
      <c r="BK26" s="256">
        <f t="shared" si="1"/>
        <v>10</v>
      </c>
      <c r="BP26" s="252">
        <v>0</v>
      </c>
      <c r="BQ26" s="252">
        <f t="shared" si="11"/>
        <v>0</v>
      </c>
      <c r="BR26" s="256">
        <f t="shared" si="12"/>
        <v>36.524691358024683</v>
      </c>
      <c r="BS26" s="255">
        <f t="shared" si="2"/>
        <v>0</v>
      </c>
      <c r="BU26" s="252">
        <v>0</v>
      </c>
      <c r="BW26" s="9">
        <v>9</v>
      </c>
      <c r="BX26" s="9">
        <v>7</v>
      </c>
      <c r="BY26" s="9">
        <v>5</v>
      </c>
      <c r="BZ26" s="9">
        <v>3</v>
      </c>
      <c r="CA26" s="9">
        <v>2</v>
      </c>
      <c r="CB26" s="9">
        <v>6</v>
      </c>
      <c r="CC26" s="9">
        <v>7</v>
      </c>
      <c r="CD26" s="9">
        <v>5</v>
      </c>
      <c r="CE26" s="9">
        <v>4</v>
      </c>
      <c r="CF26" s="9">
        <v>5</v>
      </c>
      <c r="CG26" s="9">
        <v>0</v>
      </c>
      <c r="CH26" s="9">
        <v>0</v>
      </c>
      <c r="CI26" s="9">
        <v>0</v>
      </c>
      <c r="CJ26" s="9">
        <v>0</v>
      </c>
      <c r="CK26" s="23">
        <f t="shared" si="13"/>
        <v>40.5</v>
      </c>
      <c r="CL26">
        <f t="shared" si="14"/>
        <v>13.5</v>
      </c>
      <c r="CM26">
        <f t="shared" si="15"/>
        <v>0</v>
      </c>
      <c r="CN26" s="23">
        <f t="shared" si="16"/>
        <v>31.5</v>
      </c>
      <c r="CO26" s="176">
        <f>SUM(CE26:CJ26)+((AK26+AL26+AM26+AN26+AO26+AP26+AR26+AS26+AT26+AU26+AV26+AW26)*0.25)</f>
        <v>9</v>
      </c>
      <c r="CQ26" s="23">
        <f t="shared" si="18"/>
        <v>35</v>
      </c>
      <c r="CR26" s="23">
        <f t="shared" si="19"/>
        <v>9</v>
      </c>
    </row>
    <row r="27" spans="1:96" ht="29.25">
      <c r="A27" t="str">
        <f t="shared" si="0"/>
        <v>093</v>
      </c>
      <c r="B27">
        <f t="shared" si="3"/>
        <v>93</v>
      </c>
      <c r="C27" s="14" t="s">
        <v>34</v>
      </c>
      <c r="D27" s="11"/>
      <c r="E27" s="9">
        <f>SUM(850.596848835252*0.5)</f>
        <v>425.29842441762599</v>
      </c>
      <c r="F27" s="9">
        <v>896.69809689578506</v>
      </c>
      <c r="G27" s="9">
        <v>900.52757948560702</v>
      </c>
      <c r="H27" s="9">
        <v>986.33119813538099</v>
      </c>
      <c r="I27" s="9">
        <v>973.59360303203596</v>
      </c>
      <c r="J27" s="9">
        <v>963.10414824736597</v>
      </c>
      <c r="K27" s="9">
        <v>931.96074498765495</v>
      </c>
      <c r="L27" s="9">
        <v>918.08830850357697</v>
      </c>
      <c r="M27" s="9">
        <v>929.32375364236998</v>
      </c>
      <c r="N27" s="9">
        <v>909.55472047202704</v>
      </c>
      <c r="O27" s="9">
        <v>859.94178255068198</v>
      </c>
      <c r="P27" s="9">
        <v>843.45407361974605</v>
      </c>
      <c r="Q27" s="9">
        <v>664.50440241568299</v>
      </c>
      <c r="R27" s="9">
        <v>0</v>
      </c>
      <c r="S27" s="9">
        <v>0</v>
      </c>
      <c r="T27" s="9">
        <v>0</v>
      </c>
      <c r="U27" s="9">
        <v>11.5939064367816</v>
      </c>
      <c r="V27" s="9">
        <v>26.382942351542599</v>
      </c>
      <c r="W27" s="9">
        <v>23.880141992337201</v>
      </c>
      <c r="X27" s="9">
        <v>39.109367616722601</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0</v>
      </c>
      <c r="AS27" s="9">
        <v>0</v>
      </c>
      <c r="AT27" s="9">
        <v>5.9637254901960803</v>
      </c>
      <c r="AU27" s="9">
        <v>2.5882352941176499</v>
      </c>
      <c r="AV27" s="9">
        <v>1.6823529411764699</v>
      </c>
      <c r="AW27" s="9">
        <v>0.57156862745098003</v>
      </c>
      <c r="AX27" s="9">
        <f t="shared" si="4"/>
        <v>11879.860731013656</v>
      </c>
      <c r="AY27" s="9">
        <f t="shared" si="5"/>
        <v>3369.2980638811191</v>
      </c>
      <c r="AZ27" s="9">
        <f t="shared" si="6"/>
        <v>3558.6885807988861</v>
      </c>
      <c r="BA27" s="9">
        <f t="shared" si="7"/>
        <v>6381.389484961529</v>
      </c>
      <c r="BB27" s="9">
        <f t="shared" si="8"/>
        <v>5498.4712460521314</v>
      </c>
      <c r="BC27" s="19"/>
      <c r="BD27" s="9">
        <v>4626.8</v>
      </c>
      <c r="BF27" s="252">
        <v>4228</v>
      </c>
      <c r="BH27" s="252">
        <v>1399</v>
      </c>
      <c r="BI27" s="252">
        <f t="shared" si="9"/>
        <v>1399</v>
      </c>
      <c r="BJ27" s="252">
        <f t="shared" si="10"/>
        <v>11202.380836405542</v>
      </c>
      <c r="BK27" s="256">
        <f t="shared" si="1"/>
        <v>1399</v>
      </c>
      <c r="BP27" s="252">
        <v>721</v>
      </c>
      <c r="BQ27" s="252">
        <f t="shared" si="11"/>
        <v>721</v>
      </c>
      <c r="BR27" s="256">
        <f t="shared" si="12"/>
        <v>11202.380836405542</v>
      </c>
      <c r="BS27" s="255">
        <f t="shared" si="2"/>
        <v>721</v>
      </c>
      <c r="BU27" s="252">
        <v>796</v>
      </c>
      <c r="BW27" s="9">
        <v>117</v>
      </c>
      <c r="BX27" s="9">
        <v>909</v>
      </c>
      <c r="BY27" s="9">
        <v>942</v>
      </c>
      <c r="BZ27" s="9">
        <v>939</v>
      </c>
      <c r="CA27" s="9">
        <v>957</v>
      </c>
      <c r="CB27" s="9">
        <v>1045</v>
      </c>
      <c r="CC27" s="9">
        <v>1037</v>
      </c>
      <c r="CD27" s="9">
        <v>1029</v>
      </c>
      <c r="CE27" s="9">
        <v>1017</v>
      </c>
      <c r="CF27" s="9">
        <v>998</v>
      </c>
      <c r="CG27" s="9">
        <v>1045</v>
      </c>
      <c r="CH27" s="9">
        <v>997</v>
      </c>
      <c r="CI27" s="9">
        <v>950</v>
      </c>
      <c r="CJ27" s="9">
        <v>927</v>
      </c>
      <c r="CK27" s="23">
        <f t="shared" si="13"/>
        <v>12340.201470588236</v>
      </c>
      <c r="CL27">
        <f t="shared" si="14"/>
        <v>3292.5</v>
      </c>
      <c r="CM27">
        <f t="shared" si="15"/>
        <v>3921.7014705882352</v>
      </c>
      <c r="CN27" s="23">
        <f t="shared" si="16"/>
        <v>6403.5</v>
      </c>
      <c r="CO27">
        <f>MAX($D$181,SUM(CE27:CJ27) +((AK27+AL27+AM27+AN27+AO27+AP27+AR27+AS27+AT27+AU27+AV27+AW27)*0.25))</f>
        <v>5936.7014705882357</v>
      </c>
      <c r="CQ27" s="23">
        <f t="shared" si="18"/>
        <v>6858</v>
      </c>
      <c r="CR27" s="23">
        <f t="shared" si="19"/>
        <v>5936.7014705882357</v>
      </c>
    </row>
    <row r="28" spans="1:96" ht="29.25">
      <c r="A28" t="str">
        <f t="shared" si="0"/>
        <v>101</v>
      </c>
      <c r="B28">
        <f t="shared" si="3"/>
        <v>101</v>
      </c>
      <c r="C28" s="14" t="s">
        <v>35</v>
      </c>
      <c r="D28" s="11"/>
      <c r="E28" s="9">
        <f>SUM(93.9818181818182*0.5)</f>
        <v>46.990909090909099</v>
      </c>
      <c r="F28" s="9">
        <v>96.7031305284886</v>
      </c>
      <c r="G28" s="9">
        <v>99.285272293125701</v>
      </c>
      <c r="H28" s="9">
        <v>118.548907937999</v>
      </c>
      <c r="I28" s="9">
        <v>101.605549700409</v>
      </c>
      <c r="J28" s="9">
        <v>95.664469214242402</v>
      </c>
      <c r="K28" s="9">
        <v>105.921933085502</v>
      </c>
      <c r="L28" s="9">
        <v>115.895910780669</v>
      </c>
      <c r="M28" s="9">
        <v>92.204460966542797</v>
      </c>
      <c r="N28" s="9">
        <v>118.599112785206</v>
      </c>
      <c r="O28" s="9">
        <v>105.40452787862699</v>
      </c>
      <c r="P28" s="9">
        <v>95.533081235221701</v>
      </c>
      <c r="Q28" s="9">
        <v>94.634686346863504</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c r="AQ28" s="9">
        <v>0</v>
      </c>
      <c r="AR28" s="9">
        <v>0</v>
      </c>
      <c r="AS28" s="9">
        <v>0.47647058823529398</v>
      </c>
      <c r="AT28" s="9">
        <v>4.2588235294117602</v>
      </c>
      <c r="AU28" s="9">
        <v>5.5470588235294098</v>
      </c>
      <c r="AV28" s="9">
        <v>3.8852941176470601</v>
      </c>
      <c r="AW28" s="9">
        <v>0</v>
      </c>
      <c r="AX28" s="9">
        <f t="shared" si="4"/>
        <v>1366.2175788477609</v>
      </c>
      <c r="AY28" s="9">
        <f t="shared" si="5"/>
        <v>379.60463084304854</v>
      </c>
      <c r="AZ28" s="9">
        <f t="shared" si="6"/>
        <v>449.25571395233169</v>
      </c>
      <c r="BA28" s="9">
        <f t="shared" si="7"/>
        <v>697.95618044320975</v>
      </c>
      <c r="BB28" s="9">
        <f t="shared" si="8"/>
        <v>668.2613984045513</v>
      </c>
      <c r="BC28" s="19"/>
      <c r="BD28" s="9">
        <v>749</v>
      </c>
      <c r="BF28" s="252">
        <v>711</v>
      </c>
      <c r="BH28" s="252">
        <v>226</v>
      </c>
      <c r="BI28" s="252">
        <f t="shared" si="9"/>
        <v>226</v>
      </c>
      <c r="BJ28" s="252">
        <f t="shared" si="10"/>
        <v>1286.9919518438057</v>
      </c>
      <c r="BK28" s="256">
        <f t="shared" si="1"/>
        <v>226</v>
      </c>
      <c r="BP28" s="252">
        <v>19</v>
      </c>
      <c r="BQ28" s="252">
        <f t="shared" si="11"/>
        <v>19</v>
      </c>
      <c r="BR28" s="256">
        <f t="shared" si="12"/>
        <v>1286.9919518438057</v>
      </c>
      <c r="BS28" s="255">
        <f t="shared" si="2"/>
        <v>19</v>
      </c>
      <c r="BU28" s="252">
        <v>24</v>
      </c>
      <c r="BW28" s="9">
        <v>38</v>
      </c>
      <c r="BX28" s="9">
        <v>109</v>
      </c>
      <c r="BY28" s="9">
        <v>100</v>
      </c>
      <c r="BZ28" s="9">
        <v>104</v>
      </c>
      <c r="CA28" s="9">
        <v>113</v>
      </c>
      <c r="CB28" s="9">
        <v>122</v>
      </c>
      <c r="CC28" s="9">
        <v>106</v>
      </c>
      <c r="CD28" s="9">
        <v>93</v>
      </c>
      <c r="CE28" s="9">
        <v>107</v>
      </c>
      <c r="CF28" s="9">
        <v>122</v>
      </c>
      <c r="CG28" s="9">
        <v>105</v>
      </c>
      <c r="CH28" s="9">
        <v>127</v>
      </c>
      <c r="CI28" s="9">
        <v>114</v>
      </c>
      <c r="CJ28" s="9">
        <v>94</v>
      </c>
      <c r="CK28" s="23">
        <f t="shared" si="13"/>
        <v>1365.0419117647059</v>
      </c>
      <c r="CL28">
        <f t="shared" si="14"/>
        <v>371.5</v>
      </c>
      <c r="CM28">
        <f t="shared" si="15"/>
        <v>443.42279411764707</v>
      </c>
      <c r="CN28" s="23">
        <f t="shared" si="16"/>
        <v>692.5</v>
      </c>
      <c r="CO28">
        <f t="shared" ref="CO28:CO94" si="20">MAX($D$181,SUM(CE28:CJ28) +((AK28+AL28+AM28+AN28+AO28+AP28+AR28+AS28+AT28+AU28+AV28+AW28)*0.25))</f>
        <v>672.5419117647059</v>
      </c>
      <c r="CQ28" s="23">
        <f t="shared" si="18"/>
        <v>747</v>
      </c>
      <c r="CR28" s="23">
        <f t="shared" si="19"/>
        <v>672.5419117647059</v>
      </c>
    </row>
    <row r="29" spans="1:96" ht="29.25">
      <c r="A29" t="str">
        <f t="shared" si="0"/>
        <v>111</v>
      </c>
      <c r="B29">
        <f t="shared" si="3"/>
        <v>111</v>
      </c>
      <c r="C29" s="14" t="s">
        <v>36</v>
      </c>
      <c r="D29" s="11"/>
      <c r="E29" s="9">
        <f>SUM(26.5531914893617*0.5)</f>
        <v>13.276595744680851</v>
      </c>
      <c r="F29" s="9">
        <v>27.489361702127699</v>
      </c>
      <c r="G29" s="9">
        <v>35.078014184397198</v>
      </c>
      <c r="H29" s="9">
        <v>38.780141843971599</v>
      </c>
      <c r="I29" s="9">
        <v>42.343971631205697</v>
      </c>
      <c r="J29" s="9">
        <v>25.248226950354599</v>
      </c>
      <c r="K29" s="9">
        <v>37.052447552447603</v>
      </c>
      <c r="L29" s="9">
        <v>29.534965034965001</v>
      </c>
      <c r="M29" s="9">
        <v>30.608391608391599</v>
      </c>
      <c r="N29" s="9">
        <v>33.276223776223802</v>
      </c>
      <c r="O29" s="9">
        <v>23.758741258741299</v>
      </c>
      <c r="P29" s="9">
        <v>17.192307692307701</v>
      </c>
      <c r="Q29" s="9">
        <v>20.846153846153801</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0</v>
      </c>
      <c r="AS29" s="9">
        <v>0</v>
      </c>
      <c r="AT29" s="9">
        <v>0</v>
      </c>
      <c r="AU29" s="9">
        <v>0</v>
      </c>
      <c r="AV29" s="9">
        <v>0</v>
      </c>
      <c r="AW29" s="9">
        <v>0</v>
      </c>
      <c r="AX29" s="9">
        <f t="shared" si="4"/>
        <v>393.20981996726687</v>
      </c>
      <c r="AY29" s="9">
        <f t="shared" si="5"/>
        <v>120.35531914893623</v>
      </c>
      <c r="AZ29" s="9">
        <f t="shared" si="6"/>
        <v>99.827097902097933</v>
      </c>
      <c r="BA29" s="9">
        <f t="shared" si="7"/>
        <v>230.23219758964453</v>
      </c>
      <c r="BB29" s="9">
        <f t="shared" si="8"/>
        <v>162.97762237762237</v>
      </c>
      <c r="BC29" s="19"/>
      <c r="BD29" s="9">
        <v>189</v>
      </c>
      <c r="BF29" s="252">
        <v>195</v>
      </c>
      <c r="BH29" s="252">
        <v>73</v>
      </c>
      <c r="BI29" s="252">
        <f t="shared" si="9"/>
        <v>73</v>
      </c>
      <c r="BJ29" s="252">
        <f t="shared" si="10"/>
        <v>374.48554282596842</v>
      </c>
      <c r="BK29" s="256">
        <f t="shared" si="1"/>
        <v>73</v>
      </c>
      <c r="BP29" s="252">
        <v>8</v>
      </c>
      <c r="BQ29" s="252">
        <f t="shared" si="11"/>
        <v>8</v>
      </c>
      <c r="BR29" s="256">
        <f t="shared" si="12"/>
        <v>374.48554282596842</v>
      </c>
      <c r="BS29" s="255">
        <f t="shared" si="2"/>
        <v>8</v>
      </c>
      <c r="BU29" s="252">
        <v>0</v>
      </c>
      <c r="BW29" s="9">
        <v>17</v>
      </c>
      <c r="BX29" s="9">
        <v>24</v>
      </c>
      <c r="BY29" s="9">
        <v>31</v>
      </c>
      <c r="BZ29" s="9">
        <v>29</v>
      </c>
      <c r="CA29" s="9">
        <v>31</v>
      </c>
      <c r="CB29" s="9">
        <v>42</v>
      </c>
      <c r="CC29" s="9">
        <v>43</v>
      </c>
      <c r="CD29" s="9">
        <v>31</v>
      </c>
      <c r="CE29" s="9">
        <v>41</v>
      </c>
      <c r="CF29" s="9">
        <v>33</v>
      </c>
      <c r="CG29" s="9">
        <v>28</v>
      </c>
      <c r="CH29" s="9">
        <v>35</v>
      </c>
      <c r="CI29" s="9">
        <v>26</v>
      </c>
      <c r="CJ29" s="9">
        <v>20</v>
      </c>
      <c r="CK29" s="23">
        <f t="shared" si="13"/>
        <v>402</v>
      </c>
      <c r="CL29">
        <f t="shared" si="14"/>
        <v>103</v>
      </c>
      <c r="CM29">
        <f t="shared" si="15"/>
        <v>109</v>
      </c>
      <c r="CN29" s="23">
        <f t="shared" si="16"/>
        <v>219</v>
      </c>
      <c r="CO29">
        <f t="shared" si="20"/>
        <v>183</v>
      </c>
      <c r="CQ29" s="23">
        <f t="shared" si="18"/>
        <v>231</v>
      </c>
      <c r="CR29" s="23">
        <f t="shared" si="19"/>
        <v>183</v>
      </c>
    </row>
    <row r="30" spans="1:96" ht="29.25">
      <c r="A30" t="str">
        <f t="shared" si="0"/>
        <v>121</v>
      </c>
      <c r="B30">
        <f t="shared" si="3"/>
        <v>121</v>
      </c>
      <c r="C30" s="14" t="s">
        <v>37</v>
      </c>
      <c r="D30" s="11"/>
      <c r="E30" s="9">
        <f>SUM(17.8816199376947*0.5)</f>
        <v>8.9408099688473506</v>
      </c>
      <c r="F30" s="9">
        <v>13.668711656441699</v>
      </c>
      <c r="G30" s="9">
        <v>7.6809815950920202</v>
      </c>
      <c r="H30" s="9">
        <v>10.960122699386501</v>
      </c>
      <c r="I30" s="9">
        <v>13.438650306748499</v>
      </c>
      <c r="J30" s="9">
        <v>15.625766871165601</v>
      </c>
      <c r="K30" s="9">
        <v>17.812883435582801</v>
      </c>
      <c r="L30" s="9">
        <v>6.8851963746223603</v>
      </c>
      <c r="M30" s="9">
        <v>14.8398426668584</v>
      </c>
      <c r="N30" s="9">
        <v>8.1117824773413894</v>
      </c>
      <c r="O30" s="9">
        <v>8.6978851963746209</v>
      </c>
      <c r="P30" s="9">
        <v>8.6646525679758302</v>
      </c>
      <c r="Q30" s="9">
        <v>4.8854489164086701</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f t="shared" si="4"/>
        <v>147.22337146948803</v>
      </c>
      <c r="AY30" s="9">
        <f t="shared" si="5"/>
        <v>43.31315721575595</v>
      </c>
      <c r="AZ30" s="9">
        <f t="shared" si="6"/>
        <v>31.877757616005539</v>
      </c>
      <c r="BA30" s="9">
        <f t="shared" si="7"/>
        <v>92.534322859927698</v>
      </c>
      <c r="BB30" s="9">
        <f t="shared" si="8"/>
        <v>54.689048609560338</v>
      </c>
      <c r="BC30" s="19"/>
      <c r="BD30" s="9">
        <v>72</v>
      </c>
      <c r="BF30" s="252">
        <v>56</v>
      </c>
      <c r="BH30" s="252">
        <v>21</v>
      </c>
      <c r="BI30" s="252">
        <f t="shared" si="9"/>
        <v>21</v>
      </c>
      <c r="BJ30" s="252">
        <f t="shared" si="10"/>
        <v>140.21273473284575</v>
      </c>
      <c r="BK30" s="256">
        <f t="shared" si="1"/>
        <v>21</v>
      </c>
      <c r="BP30" s="252">
        <v>0</v>
      </c>
      <c r="BQ30" s="252">
        <f t="shared" si="11"/>
        <v>0</v>
      </c>
      <c r="BR30" s="256">
        <f t="shared" si="12"/>
        <v>140.21273473284575</v>
      </c>
      <c r="BS30" s="255">
        <f t="shared" si="2"/>
        <v>0</v>
      </c>
      <c r="BU30" s="252">
        <v>0</v>
      </c>
      <c r="BW30" s="9">
        <v>0</v>
      </c>
      <c r="BX30" s="9">
        <v>9</v>
      </c>
      <c r="BY30" s="9">
        <v>16</v>
      </c>
      <c r="BZ30" s="9">
        <v>16</v>
      </c>
      <c r="CA30" s="9">
        <v>10</v>
      </c>
      <c r="CB30" s="9">
        <v>15</v>
      </c>
      <c r="CC30" s="9">
        <v>13</v>
      </c>
      <c r="CD30" s="9">
        <v>16</v>
      </c>
      <c r="CE30" s="9">
        <v>21</v>
      </c>
      <c r="CF30" s="9">
        <v>9</v>
      </c>
      <c r="CG30" s="9">
        <v>18</v>
      </c>
      <c r="CH30" s="9">
        <v>9</v>
      </c>
      <c r="CI30" s="9">
        <v>10</v>
      </c>
      <c r="CJ30" s="9">
        <v>8</v>
      </c>
      <c r="CK30" s="23">
        <f t="shared" si="13"/>
        <v>165.5</v>
      </c>
      <c r="CL30">
        <f t="shared" si="14"/>
        <v>46.5</v>
      </c>
      <c r="CM30">
        <f t="shared" si="15"/>
        <v>45</v>
      </c>
      <c r="CN30" s="23">
        <f t="shared" si="16"/>
        <v>90.5</v>
      </c>
      <c r="CO30">
        <f t="shared" si="20"/>
        <v>100</v>
      </c>
      <c r="CQ30" s="23">
        <f t="shared" si="18"/>
        <v>95</v>
      </c>
      <c r="CR30" s="23">
        <f t="shared" si="19"/>
        <v>75</v>
      </c>
    </row>
    <row r="31" spans="1:96" ht="29.25">
      <c r="A31" t="str">
        <f t="shared" si="0"/>
        <v>131</v>
      </c>
      <c r="B31">
        <f t="shared" si="3"/>
        <v>131</v>
      </c>
      <c r="C31" s="14" t="s">
        <v>38</v>
      </c>
      <c r="D31" s="11"/>
      <c r="E31" s="9">
        <f>SUM(945.797161881019*0.5)</f>
        <v>472.89858094050948</v>
      </c>
      <c r="F31" s="9">
        <v>981.29261363636397</v>
      </c>
      <c r="G31" s="9">
        <v>966.45984613461496</v>
      </c>
      <c r="H31" s="9">
        <v>1028.20170454545</v>
      </c>
      <c r="I31" s="9">
        <v>1027.95170454545</v>
      </c>
      <c r="J31" s="9">
        <v>1026.26704545455</v>
      </c>
      <c r="K31" s="9">
        <v>1076.9514285714299</v>
      </c>
      <c r="L31" s="9">
        <v>1096.8428571428601</v>
      </c>
      <c r="M31" s="9">
        <v>1064.36370576592</v>
      </c>
      <c r="N31" s="9">
        <v>988.98571428571404</v>
      </c>
      <c r="O31" s="9">
        <v>973.56285714285696</v>
      </c>
      <c r="P31" s="9">
        <v>897.70857142857096</v>
      </c>
      <c r="Q31" s="9">
        <v>843.81714285714304</v>
      </c>
      <c r="R31" s="9">
        <v>0</v>
      </c>
      <c r="S31" s="9">
        <v>0</v>
      </c>
      <c r="T31" s="9">
        <v>0</v>
      </c>
      <c r="U31" s="9">
        <v>21.588385346513</v>
      </c>
      <c r="V31" s="9">
        <v>30.943064655493501</v>
      </c>
      <c r="W31" s="9">
        <v>48.264829123126098</v>
      </c>
      <c r="X31" s="9">
        <v>42.770563575418997</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48.360623529411697</v>
      </c>
      <c r="AR31" s="9">
        <v>36.956356862745103</v>
      </c>
      <c r="AS31" s="9">
        <v>25.656698039215701</v>
      </c>
      <c r="AT31" s="9">
        <v>84.902313725490203</v>
      </c>
      <c r="AU31" s="9">
        <v>95.339168627451102</v>
      </c>
      <c r="AV31" s="9">
        <v>82.237003921568601</v>
      </c>
      <c r="AW31" s="9">
        <v>15.0914392156863</v>
      </c>
      <c r="AX31" s="9">
        <f t="shared" si="4"/>
        <v>13626.284930027236</v>
      </c>
      <c r="AY31" s="9">
        <f t="shared" si="5"/>
        <v>3621.2953825197856</v>
      </c>
      <c r="AZ31" s="9">
        <f t="shared" si="6"/>
        <v>4331.4716066002848</v>
      </c>
      <c r="BA31" s="9">
        <f t="shared" si="7"/>
        <v>6959.8027247256696</v>
      </c>
      <c r="BB31" s="9">
        <f t="shared" si="8"/>
        <v>6666.4822053015623</v>
      </c>
      <c r="BC31" s="19"/>
      <c r="BD31" s="9">
        <v>9428.7999999999993</v>
      </c>
      <c r="BE31" s="9">
        <v>5457</v>
      </c>
      <c r="BF31" s="252">
        <v>8178</v>
      </c>
      <c r="BH31" s="252">
        <v>1575</v>
      </c>
      <c r="BI31" s="252">
        <f t="shared" si="9"/>
        <v>1575</v>
      </c>
      <c r="BJ31" s="252">
        <f t="shared" si="10"/>
        <v>12445.303772451434</v>
      </c>
      <c r="BK31" s="256">
        <f t="shared" si="1"/>
        <v>1575</v>
      </c>
      <c r="BP31" s="252">
        <v>1704</v>
      </c>
      <c r="BQ31" s="252">
        <f t="shared" si="11"/>
        <v>1704</v>
      </c>
      <c r="BR31" s="256">
        <f t="shared" si="12"/>
        <v>12445.303772451434</v>
      </c>
      <c r="BS31" s="255">
        <f t="shared" si="2"/>
        <v>1704</v>
      </c>
      <c r="BU31" s="252">
        <v>425</v>
      </c>
      <c r="BW31" s="9">
        <v>141</v>
      </c>
      <c r="BX31" s="9">
        <v>943</v>
      </c>
      <c r="BY31" s="9">
        <v>1035</v>
      </c>
      <c r="BZ31" s="9">
        <v>1042</v>
      </c>
      <c r="CA31" s="9">
        <v>1025</v>
      </c>
      <c r="CB31" s="9">
        <v>1092</v>
      </c>
      <c r="CC31" s="9">
        <v>1047</v>
      </c>
      <c r="CD31" s="9">
        <v>1069</v>
      </c>
      <c r="CE31" s="9">
        <v>1127</v>
      </c>
      <c r="CF31" s="9">
        <v>1175</v>
      </c>
      <c r="CG31" s="9">
        <v>1183</v>
      </c>
      <c r="CH31" s="9">
        <v>1067</v>
      </c>
      <c r="CI31" s="9">
        <v>1038</v>
      </c>
      <c r="CJ31" s="9">
        <v>994</v>
      </c>
      <c r="CK31" s="23">
        <f t="shared" si="13"/>
        <v>13462.635900980393</v>
      </c>
      <c r="CL31">
        <f t="shared" si="14"/>
        <v>3573.5</v>
      </c>
      <c r="CM31">
        <f t="shared" si="15"/>
        <v>4351.3924813725489</v>
      </c>
      <c r="CN31" s="23">
        <f t="shared" si="16"/>
        <v>6793.5901558823525</v>
      </c>
      <c r="CO31">
        <f t="shared" si="20"/>
        <v>6669.0457450980393</v>
      </c>
      <c r="CQ31" s="23">
        <f t="shared" si="18"/>
        <v>7265.0901558823525</v>
      </c>
      <c r="CR31" s="23">
        <f t="shared" si="19"/>
        <v>6669.0457450980393</v>
      </c>
    </row>
    <row r="32" spans="1:96" ht="29.25">
      <c r="A32" t="str">
        <f t="shared" si="0"/>
        <v>132</v>
      </c>
      <c r="B32">
        <f t="shared" si="3"/>
        <v>132</v>
      </c>
      <c r="C32" s="14" t="s">
        <v>39</v>
      </c>
      <c r="D32" s="11"/>
      <c r="E32" s="9">
        <f>SUM(460.953488372093*0.5)</f>
        <v>230.47674418604649</v>
      </c>
      <c r="F32" s="9">
        <v>444.43313953488399</v>
      </c>
      <c r="G32" s="9">
        <v>496.53488372093</v>
      </c>
      <c r="H32" s="9">
        <v>448.66860465116298</v>
      </c>
      <c r="I32" s="9">
        <v>514.04941860465101</v>
      </c>
      <c r="J32" s="9">
        <v>526.05232558139505</v>
      </c>
      <c r="K32" s="9">
        <v>468.02906976744202</v>
      </c>
      <c r="L32" s="9">
        <v>453.58430232558101</v>
      </c>
      <c r="M32" s="9">
        <v>418.26453488372101</v>
      </c>
      <c r="N32" s="9">
        <v>411.18409577696701</v>
      </c>
      <c r="O32" s="9">
        <v>336.89825581395303</v>
      </c>
      <c r="P32" s="9">
        <v>316.85211261873599</v>
      </c>
      <c r="Q32" s="9">
        <v>269.60574839548798</v>
      </c>
      <c r="R32" s="9">
        <v>8.0961820769936406</v>
      </c>
      <c r="S32" s="9">
        <v>12.6264396499084</v>
      </c>
      <c r="T32" s="9">
        <v>6.1808268991684097</v>
      </c>
      <c r="U32" s="9">
        <v>36.806909542882302</v>
      </c>
      <c r="V32" s="9">
        <v>73.014854270523102</v>
      </c>
      <c r="W32" s="9">
        <v>68.146383743431699</v>
      </c>
      <c r="X32" s="9">
        <v>56.901068181818196</v>
      </c>
      <c r="Y32" s="9">
        <v>0</v>
      </c>
      <c r="Z32" s="9">
        <v>0.46666666666666701</v>
      </c>
      <c r="AA32" s="9">
        <v>0.92800000000000005</v>
      </c>
      <c r="AB32" s="9">
        <v>1.1973684210526301</v>
      </c>
      <c r="AC32" s="9">
        <v>1.1726190476190499</v>
      </c>
      <c r="AD32" s="9">
        <v>5.6700507614213196</v>
      </c>
      <c r="AE32" s="9">
        <v>8.4771573604060908</v>
      </c>
      <c r="AF32" s="9">
        <v>6.8477157360406098</v>
      </c>
      <c r="AG32" s="9">
        <v>7.2741116751268997</v>
      </c>
      <c r="AH32" s="9">
        <v>0</v>
      </c>
      <c r="AI32" s="9">
        <v>0</v>
      </c>
      <c r="AJ32" s="9">
        <v>3.2258064516128997E-2</v>
      </c>
      <c r="AK32" s="9">
        <v>0</v>
      </c>
      <c r="AL32" s="9">
        <v>0.61290322580645196</v>
      </c>
      <c r="AM32" s="9">
        <v>1.0322580645161299</v>
      </c>
      <c r="AN32" s="9">
        <v>7.5806451612903203</v>
      </c>
      <c r="AO32" s="9">
        <v>7.7741935483870996</v>
      </c>
      <c r="AP32" s="9">
        <v>8.5161290322580605</v>
      </c>
      <c r="AQ32" s="9">
        <v>7.8098039215686299</v>
      </c>
      <c r="AR32" s="9">
        <v>18.831372549019601</v>
      </c>
      <c r="AS32" s="9">
        <v>15.125490196078401</v>
      </c>
      <c r="AT32" s="9">
        <v>13.656862745098</v>
      </c>
      <c r="AU32" s="9">
        <v>16.031372549019601</v>
      </c>
      <c r="AV32" s="9">
        <v>5.8607843137254898</v>
      </c>
      <c r="AW32" s="9">
        <v>5.2196078431372603</v>
      </c>
      <c r="AX32" s="9">
        <f t="shared" si="4"/>
        <v>6023.349434663859</v>
      </c>
      <c r="AY32" s="9">
        <f t="shared" si="5"/>
        <v>1701.1190406976746</v>
      </c>
      <c r="AZ32" s="9">
        <f t="shared" si="6"/>
        <v>1746.5178329909374</v>
      </c>
      <c r="BA32" s="9">
        <f t="shared" si="7"/>
        <v>3302.8559516150694</v>
      </c>
      <c r="BB32" s="9">
        <f t="shared" si="8"/>
        <v>2720.4934830487905</v>
      </c>
      <c r="BC32" s="19"/>
      <c r="BD32" s="9">
        <v>5183.6000000000004</v>
      </c>
      <c r="BF32" s="257">
        <v>2722.12</v>
      </c>
      <c r="BH32" s="252">
        <v>768</v>
      </c>
      <c r="BI32" s="252">
        <f t="shared" si="9"/>
        <v>768</v>
      </c>
      <c r="BJ32" s="252">
        <f t="shared" si="10"/>
        <v>5334.6332358609579</v>
      </c>
      <c r="BK32" s="256">
        <f t="shared" si="1"/>
        <v>768</v>
      </c>
      <c r="BP32" s="252">
        <v>1599</v>
      </c>
      <c r="BQ32" s="252">
        <f t="shared" si="11"/>
        <v>1599</v>
      </c>
      <c r="BR32" s="256">
        <f t="shared" si="12"/>
        <v>5334.6332358609579</v>
      </c>
      <c r="BS32" s="255">
        <f t="shared" si="2"/>
        <v>1599</v>
      </c>
      <c r="BU32" s="252">
        <v>227</v>
      </c>
      <c r="BW32" s="9">
        <v>92</v>
      </c>
      <c r="BX32" s="9">
        <v>496</v>
      </c>
      <c r="BY32" s="9">
        <v>519</v>
      </c>
      <c r="BZ32" s="9">
        <v>482</v>
      </c>
      <c r="CA32" s="9">
        <v>523</v>
      </c>
      <c r="CB32" s="9">
        <v>466</v>
      </c>
      <c r="CC32" s="9">
        <v>532</v>
      </c>
      <c r="CD32" s="9">
        <v>527</v>
      </c>
      <c r="CE32" s="9">
        <v>501</v>
      </c>
      <c r="CF32" s="9">
        <v>493</v>
      </c>
      <c r="CG32" s="9">
        <v>476</v>
      </c>
      <c r="CH32" s="9">
        <v>484</v>
      </c>
      <c r="CI32" s="9">
        <v>419</v>
      </c>
      <c r="CJ32" s="9">
        <v>413</v>
      </c>
      <c r="CK32" s="23">
        <f t="shared" si="13"/>
        <v>6110.0209203036056</v>
      </c>
      <c r="CL32">
        <f t="shared" si="14"/>
        <v>1772</v>
      </c>
      <c r="CM32">
        <f t="shared" si="15"/>
        <v>1808.4179633143581</v>
      </c>
      <c r="CN32" s="23">
        <f t="shared" si="16"/>
        <v>3298.9605154965211</v>
      </c>
      <c r="CO32">
        <f t="shared" si="20"/>
        <v>2811.0604048070841</v>
      </c>
      <c r="CQ32" s="23">
        <f t="shared" si="18"/>
        <v>3546.9605154965211</v>
      </c>
      <c r="CR32" s="23">
        <f t="shared" si="19"/>
        <v>2811.0604048070841</v>
      </c>
    </row>
    <row r="33" spans="1:96" ht="29.25">
      <c r="A33" t="str">
        <f t="shared" si="0"/>
        <v>133</v>
      </c>
      <c r="B33">
        <f t="shared" si="3"/>
        <v>133</v>
      </c>
      <c r="C33" s="14" t="s">
        <v>40</v>
      </c>
      <c r="D33" s="11"/>
      <c r="E33" s="9">
        <f>SUM(35.8607954545455*0.5)</f>
        <v>17.930397727272751</v>
      </c>
      <c r="F33" s="9">
        <v>38.301136363636402</v>
      </c>
      <c r="G33" s="9">
        <v>38.090909090909101</v>
      </c>
      <c r="H33" s="9">
        <v>42.130681818181799</v>
      </c>
      <c r="I33" s="9">
        <v>42.230113636363598</v>
      </c>
      <c r="J33" s="9">
        <v>30.568181818181799</v>
      </c>
      <c r="K33" s="9">
        <v>45.471590909090899</v>
      </c>
      <c r="L33" s="9">
        <v>45.224431818181799</v>
      </c>
      <c r="M33" s="9">
        <v>36.400568181818201</v>
      </c>
      <c r="N33" s="9">
        <v>34.238636363636402</v>
      </c>
      <c r="O33" s="9">
        <v>23.943181818181799</v>
      </c>
      <c r="P33" s="9">
        <v>25.90625</v>
      </c>
      <c r="Q33" s="9">
        <v>23.161931818181799</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f t="shared" si="4"/>
        <v>465.77791193181821</v>
      </c>
      <c r="AY33" s="9">
        <f t="shared" si="5"/>
        <v>143.27578125000008</v>
      </c>
      <c r="AZ33" s="9">
        <f t="shared" si="6"/>
        <v>112.61250000000001</v>
      </c>
      <c r="BA33" s="9">
        <f t="shared" si="7"/>
        <v>267.45916193181819</v>
      </c>
      <c r="BB33" s="9">
        <f t="shared" si="8"/>
        <v>198.31874999999999</v>
      </c>
      <c r="BC33" s="19"/>
      <c r="BD33" s="9">
        <v>392</v>
      </c>
      <c r="BF33" s="257">
        <v>225.3</v>
      </c>
      <c r="BH33" s="252">
        <v>65</v>
      </c>
      <c r="BI33" s="252">
        <f t="shared" si="9"/>
        <v>65</v>
      </c>
      <c r="BJ33" s="252">
        <f t="shared" si="10"/>
        <v>443.59801136363637</v>
      </c>
      <c r="BK33" s="256">
        <f t="shared" si="1"/>
        <v>65</v>
      </c>
      <c r="BP33" s="252">
        <v>105</v>
      </c>
      <c r="BQ33" s="252">
        <f t="shared" si="11"/>
        <v>105</v>
      </c>
      <c r="BR33" s="256">
        <f t="shared" si="12"/>
        <v>443.59801136363637</v>
      </c>
      <c r="BS33" s="255">
        <f t="shared" si="2"/>
        <v>105</v>
      </c>
      <c r="BU33" s="252">
        <v>7</v>
      </c>
      <c r="BW33" s="9">
        <v>18</v>
      </c>
      <c r="BX33" s="9">
        <v>49</v>
      </c>
      <c r="BY33" s="9">
        <v>37</v>
      </c>
      <c r="BZ33" s="9">
        <v>41</v>
      </c>
      <c r="CA33" s="9">
        <v>42</v>
      </c>
      <c r="CB33" s="9">
        <v>50</v>
      </c>
      <c r="CC33" s="9">
        <v>47</v>
      </c>
      <c r="CD33" s="9">
        <v>34</v>
      </c>
      <c r="CE33" s="9">
        <v>49</v>
      </c>
      <c r="CF33" s="9">
        <v>47</v>
      </c>
      <c r="CG33" s="9">
        <v>39</v>
      </c>
      <c r="CH33" s="9">
        <v>39</v>
      </c>
      <c r="CI33" s="9">
        <v>19</v>
      </c>
      <c r="CJ33" s="9">
        <v>31</v>
      </c>
      <c r="CK33" s="23">
        <f t="shared" si="13"/>
        <v>499.5</v>
      </c>
      <c r="CL33">
        <f t="shared" si="14"/>
        <v>144.5</v>
      </c>
      <c r="CM33">
        <f t="shared" si="15"/>
        <v>128</v>
      </c>
      <c r="CN33" s="23">
        <f t="shared" si="16"/>
        <v>275.5</v>
      </c>
      <c r="CO33">
        <f t="shared" si="20"/>
        <v>224</v>
      </c>
      <c r="CQ33" s="23">
        <f t="shared" si="18"/>
        <v>300</v>
      </c>
      <c r="CR33" s="23">
        <f t="shared" si="19"/>
        <v>224</v>
      </c>
    </row>
    <row r="34" spans="1:96" ht="29.25">
      <c r="A34" t="str">
        <f t="shared" si="0"/>
        <v>134</v>
      </c>
      <c r="B34">
        <f t="shared" si="3"/>
        <v>134</v>
      </c>
      <c r="C34" s="14" t="s">
        <v>41</v>
      </c>
      <c r="D34" s="11"/>
      <c r="E34" s="9">
        <f>SUM(237.231430768248*0.5)</f>
        <v>118.615715384124</v>
      </c>
      <c r="F34" s="9">
        <v>250.169590643275</v>
      </c>
      <c r="G34" s="9">
        <v>271.58187134502901</v>
      </c>
      <c r="H34" s="9">
        <v>280.31286549707602</v>
      </c>
      <c r="I34" s="9">
        <v>316.23391812865498</v>
      </c>
      <c r="J34" s="9">
        <v>289.552631578947</v>
      </c>
      <c r="K34" s="9">
        <v>285.28947368421098</v>
      </c>
      <c r="L34" s="9">
        <v>323.730994152047</v>
      </c>
      <c r="M34" s="9">
        <v>280.59649122807002</v>
      </c>
      <c r="N34" s="9">
        <v>319.07207657939801</v>
      </c>
      <c r="O34" s="9">
        <v>284.664708942483</v>
      </c>
      <c r="P34" s="9">
        <v>287.40988290936599</v>
      </c>
      <c r="Q34" s="9">
        <v>235.659469398168</v>
      </c>
      <c r="R34" s="9">
        <v>0</v>
      </c>
      <c r="S34" s="9">
        <v>3.1590277243496301</v>
      </c>
      <c r="T34" s="9">
        <v>10.3779381919885</v>
      </c>
      <c r="U34" s="9">
        <v>12.0939589442815</v>
      </c>
      <c r="V34" s="9">
        <v>16.480144777743099</v>
      </c>
      <c r="W34" s="9">
        <v>20.191546343222601</v>
      </c>
      <c r="X34" s="9">
        <v>25.838310642326</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0.34313725490196101</v>
      </c>
      <c r="AR34" s="9">
        <v>0.14705882352941199</v>
      </c>
      <c r="AS34" s="9">
        <v>2.4019607843137298</v>
      </c>
      <c r="AT34" s="9">
        <v>7.8823529411764701</v>
      </c>
      <c r="AU34" s="9">
        <v>9.1078431372548998</v>
      </c>
      <c r="AV34" s="9">
        <v>10.078431372549</v>
      </c>
      <c r="AW34" s="9">
        <v>1.02941176470588</v>
      </c>
      <c r="AX34" s="9">
        <f t="shared" si="4"/>
        <v>3845.1218527818514</v>
      </c>
      <c r="AY34" s="9">
        <f t="shared" si="5"/>
        <v>966.71404501297923</v>
      </c>
      <c r="AZ34" s="9">
        <f t="shared" si="6"/>
        <v>1290.9835446403083</v>
      </c>
      <c r="BA34" s="9">
        <f t="shared" si="7"/>
        <v>1902.7041636920301</v>
      </c>
      <c r="BB34" s="9">
        <f t="shared" si="8"/>
        <v>1942.4176890898214</v>
      </c>
      <c r="BC34" s="19"/>
      <c r="BD34" s="9">
        <v>1588</v>
      </c>
      <c r="BF34" s="252">
        <v>1659</v>
      </c>
      <c r="BH34" s="252">
        <v>379</v>
      </c>
      <c r="BI34" s="252">
        <f t="shared" si="9"/>
        <v>379</v>
      </c>
      <c r="BJ34" s="252">
        <f t="shared" si="10"/>
        <v>3542.8896894708491</v>
      </c>
      <c r="BK34" s="256">
        <f t="shared" si="1"/>
        <v>379</v>
      </c>
      <c r="BP34" s="252">
        <v>108</v>
      </c>
      <c r="BQ34" s="252">
        <f t="shared" si="11"/>
        <v>108</v>
      </c>
      <c r="BR34" s="256">
        <f t="shared" si="12"/>
        <v>3542.8896894708491</v>
      </c>
      <c r="BS34" s="255">
        <f t="shared" si="2"/>
        <v>108</v>
      </c>
      <c r="BU34" s="252">
        <v>247</v>
      </c>
      <c r="BW34" s="9">
        <v>29</v>
      </c>
      <c r="BX34" s="9">
        <v>273</v>
      </c>
      <c r="BY34" s="9">
        <v>275</v>
      </c>
      <c r="BZ34" s="9">
        <v>281</v>
      </c>
      <c r="CA34" s="9">
        <v>295</v>
      </c>
      <c r="CB34" s="9">
        <v>302</v>
      </c>
      <c r="CC34" s="9">
        <v>323</v>
      </c>
      <c r="CD34" s="9">
        <v>318</v>
      </c>
      <c r="CE34" s="9">
        <v>312</v>
      </c>
      <c r="CF34" s="9">
        <v>353</v>
      </c>
      <c r="CG34" s="9">
        <v>326</v>
      </c>
      <c r="CH34" s="9">
        <v>359</v>
      </c>
      <c r="CI34" s="9">
        <v>319</v>
      </c>
      <c r="CJ34" s="9">
        <v>323</v>
      </c>
      <c r="CK34" s="23">
        <f t="shared" si="13"/>
        <v>3930.247549019608</v>
      </c>
      <c r="CL34">
        <f t="shared" si="14"/>
        <v>987.5</v>
      </c>
      <c r="CM34">
        <f t="shared" si="15"/>
        <v>1334.0245098039215</v>
      </c>
      <c r="CN34" s="23">
        <f t="shared" si="16"/>
        <v>1930.5857843137255</v>
      </c>
      <c r="CO34">
        <f t="shared" si="20"/>
        <v>1999.6617647058824</v>
      </c>
      <c r="CQ34" s="23">
        <f t="shared" si="18"/>
        <v>2067.0857843137255</v>
      </c>
      <c r="CR34" s="23">
        <f t="shared" si="19"/>
        <v>1999.6617647058824</v>
      </c>
    </row>
    <row r="35" spans="1:96" ht="29.25">
      <c r="A35" t="str">
        <f t="shared" si="0"/>
        <v>135</v>
      </c>
      <c r="B35">
        <f t="shared" si="3"/>
        <v>135</v>
      </c>
      <c r="C35" s="14" t="s">
        <v>42</v>
      </c>
      <c r="D35" s="11"/>
      <c r="E35" s="9">
        <f>SUM(23.9324324324324*0.5)</f>
        <v>11.9662162162162</v>
      </c>
      <c r="F35" s="9">
        <v>30.6891891891892</v>
      </c>
      <c r="G35" s="9">
        <v>18.364864864864899</v>
      </c>
      <c r="H35" s="9">
        <v>31.581081081081098</v>
      </c>
      <c r="I35" s="9">
        <v>30.175675675675699</v>
      </c>
      <c r="J35" s="9">
        <v>28.351351351351401</v>
      </c>
      <c r="K35" s="9">
        <v>32.739864864864899</v>
      </c>
      <c r="L35" s="9">
        <v>35.773648648648603</v>
      </c>
      <c r="M35" s="9">
        <v>40.395270270270302</v>
      </c>
      <c r="N35" s="9">
        <v>30.577702702702702</v>
      </c>
      <c r="O35" s="9">
        <v>32.891891891891902</v>
      </c>
      <c r="P35" s="9">
        <v>33.016891891891902</v>
      </c>
      <c r="Q35" s="9">
        <v>29.550675675675699</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9">
        <v>0</v>
      </c>
      <c r="AS35" s="9">
        <v>0</v>
      </c>
      <c r="AT35" s="9">
        <v>0</v>
      </c>
      <c r="AU35" s="9">
        <v>0</v>
      </c>
      <c r="AV35" s="9">
        <v>0</v>
      </c>
      <c r="AW35" s="9">
        <v>0</v>
      </c>
      <c r="AX35" s="9">
        <f t="shared" si="4"/>
        <v>405.37804054054067</v>
      </c>
      <c r="AY35" s="9">
        <f t="shared" si="5"/>
        <v>97.231418918918976</v>
      </c>
      <c r="AZ35" s="9">
        <f t="shared" si="6"/>
        <v>132.33902027027034</v>
      </c>
      <c r="BA35" s="9">
        <f t="shared" si="7"/>
        <v>193.06165540540559</v>
      </c>
      <c r="BB35" s="9">
        <f t="shared" si="8"/>
        <v>212.31638513513519</v>
      </c>
      <c r="BC35" s="19"/>
      <c r="BD35" s="9">
        <v>247</v>
      </c>
      <c r="BF35" s="252">
        <v>253</v>
      </c>
      <c r="BH35" s="252">
        <v>53</v>
      </c>
      <c r="BI35" s="252">
        <f t="shared" si="9"/>
        <v>53</v>
      </c>
      <c r="BJ35" s="252">
        <f t="shared" si="10"/>
        <v>386.07432432432444</v>
      </c>
      <c r="BK35" s="256">
        <f t="shared" si="1"/>
        <v>53</v>
      </c>
      <c r="BP35" s="252">
        <v>39</v>
      </c>
      <c r="BQ35" s="252">
        <f t="shared" si="11"/>
        <v>39</v>
      </c>
      <c r="BR35" s="256">
        <f t="shared" si="12"/>
        <v>386.07432432432444</v>
      </c>
      <c r="BS35" s="255">
        <f t="shared" si="2"/>
        <v>39</v>
      </c>
      <c r="BU35" s="252">
        <v>14</v>
      </c>
      <c r="BW35" s="9">
        <v>0</v>
      </c>
      <c r="BX35" s="9">
        <v>25</v>
      </c>
      <c r="BY35" s="9">
        <v>23</v>
      </c>
      <c r="BZ35" s="9">
        <v>32</v>
      </c>
      <c r="CA35" s="9">
        <v>24</v>
      </c>
      <c r="CB35" s="9">
        <v>34</v>
      </c>
      <c r="CC35" s="9">
        <v>34</v>
      </c>
      <c r="CD35" s="9">
        <v>37</v>
      </c>
      <c r="CE35" s="9">
        <v>38</v>
      </c>
      <c r="CF35" s="9">
        <v>43</v>
      </c>
      <c r="CG35" s="9">
        <v>40</v>
      </c>
      <c r="CH35" s="9">
        <v>30</v>
      </c>
      <c r="CI35" s="9">
        <v>35</v>
      </c>
      <c r="CJ35" s="9">
        <v>31</v>
      </c>
      <c r="CK35" s="23">
        <f t="shared" si="13"/>
        <v>413.5</v>
      </c>
      <c r="CL35">
        <f t="shared" si="14"/>
        <v>91.5</v>
      </c>
      <c r="CM35">
        <f t="shared" si="15"/>
        <v>136</v>
      </c>
      <c r="CN35" s="23">
        <f t="shared" si="16"/>
        <v>196.5</v>
      </c>
      <c r="CO35">
        <f t="shared" si="20"/>
        <v>217</v>
      </c>
      <c r="CQ35" s="23">
        <f t="shared" si="18"/>
        <v>209</v>
      </c>
      <c r="CR35" s="23">
        <f t="shared" si="19"/>
        <v>217</v>
      </c>
    </row>
    <row r="36" spans="1:96" ht="29.25">
      <c r="A36" t="str">
        <f t="shared" si="0"/>
        <v>136</v>
      </c>
      <c r="B36">
        <f t="shared" si="3"/>
        <v>136</v>
      </c>
      <c r="C36" s="14" t="s">
        <v>43</v>
      </c>
      <c r="D36" s="11"/>
      <c r="E36" s="9">
        <f>SUM(36.5375690444701*0.5)</f>
        <v>18.268784522235048</v>
      </c>
      <c r="F36" s="9">
        <v>52.414383561643803</v>
      </c>
      <c r="G36" s="9">
        <v>48.832191780821901</v>
      </c>
      <c r="H36" s="9">
        <v>61.339041095890401</v>
      </c>
      <c r="I36" s="9">
        <v>70.606164383561605</v>
      </c>
      <c r="J36" s="9">
        <v>64.952054794520507</v>
      </c>
      <c r="K36" s="9">
        <v>66.047945205479493</v>
      </c>
      <c r="L36" s="9">
        <v>69.691780821917803</v>
      </c>
      <c r="M36" s="9">
        <v>62.575342465753401</v>
      </c>
      <c r="N36" s="9">
        <v>63.119863013698598</v>
      </c>
      <c r="O36" s="9">
        <v>63.571917808219197</v>
      </c>
      <c r="P36" s="9">
        <v>72.928082191780803</v>
      </c>
      <c r="Q36" s="9">
        <v>60.397260273972599</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9">
        <v>0</v>
      </c>
      <c r="AS36" s="9">
        <v>0</v>
      </c>
      <c r="AT36" s="9">
        <v>0</v>
      </c>
      <c r="AU36" s="9">
        <v>0</v>
      </c>
      <c r="AV36" s="9">
        <v>0</v>
      </c>
      <c r="AW36" s="9">
        <v>0</v>
      </c>
      <c r="AX36" s="9">
        <f t="shared" si="4"/>
        <v>813.48205251546995</v>
      </c>
      <c r="AY36" s="9">
        <f t="shared" si="5"/>
        <v>189.89712100862073</v>
      </c>
      <c r="AZ36" s="9">
        <f t="shared" si="6"/>
        <v>273.01797945205476</v>
      </c>
      <c r="BA36" s="9">
        <f t="shared" si="7"/>
        <v>401.58359361136041</v>
      </c>
      <c r="BB36" s="9">
        <f t="shared" si="8"/>
        <v>411.89845890410959</v>
      </c>
      <c r="BC36" s="19"/>
      <c r="BD36" s="9">
        <v>383</v>
      </c>
      <c r="BF36" s="252">
        <v>341</v>
      </c>
      <c r="BH36" s="252">
        <v>75</v>
      </c>
      <c r="BI36" s="252">
        <f t="shared" si="9"/>
        <v>75</v>
      </c>
      <c r="BJ36" s="252">
        <f t="shared" si="10"/>
        <v>774.74481191949519</v>
      </c>
      <c r="BK36" s="256">
        <f t="shared" ref="BK36:BK67" si="21">IFERROR(BH36*1,SUM(E36:Q36)*$BJ$179)</f>
        <v>75</v>
      </c>
      <c r="BP36" s="252">
        <v>77</v>
      </c>
      <c r="BQ36" s="252">
        <f t="shared" si="11"/>
        <v>77</v>
      </c>
      <c r="BR36" s="256">
        <f t="shared" si="12"/>
        <v>774.74481191949519</v>
      </c>
      <c r="BS36" s="255">
        <f t="shared" ref="BS36:BS67" si="22">IFERROR(BP36*1,SUM(E36:Q36)*$BR$179)</f>
        <v>77</v>
      </c>
      <c r="BU36" s="252">
        <v>0</v>
      </c>
      <c r="BW36" s="9">
        <v>8</v>
      </c>
      <c r="BX36" s="9">
        <v>56</v>
      </c>
      <c r="BY36" s="9">
        <v>45</v>
      </c>
      <c r="BZ36" s="9">
        <v>54</v>
      </c>
      <c r="CA36" s="9">
        <v>61</v>
      </c>
      <c r="CB36" s="9">
        <v>60</v>
      </c>
      <c r="CC36" s="9">
        <v>77</v>
      </c>
      <c r="CD36" s="9">
        <v>79</v>
      </c>
      <c r="CE36" s="9">
        <v>74</v>
      </c>
      <c r="CF36" s="9">
        <v>77</v>
      </c>
      <c r="CG36" s="9">
        <v>70</v>
      </c>
      <c r="CH36" s="9">
        <v>72</v>
      </c>
      <c r="CI36" s="9">
        <v>69</v>
      </c>
      <c r="CJ36" s="9">
        <v>71</v>
      </c>
      <c r="CK36" s="23">
        <f t="shared" si="13"/>
        <v>837</v>
      </c>
      <c r="CL36">
        <f t="shared" si="14"/>
        <v>188</v>
      </c>
      <c r="CM36">
        <f t="shared" si="15"/>
        <v>282</v>
      </c>
      <c r="CN36" s="23">
        <f t="shared" si="16"/>
        <v>404</v>
      </c>
      <c r="CO36">
        <f t="shared" si="20"/>
        <v>433</v>
      </c>
      <c r="CQ36" s="23">
        <f t="shared" si="18"/>
        <v>432</v>
      </c>
      <c r="CR36" s="23">
        <f t="shared" si="19"/>
        <v>433</v>
      </c>
    </row>
    <row r="37" spans="1:96" ht="29.25">
      <c r="A37" t="str">
        <f t="shared" si="0"/>
        <v>137</v>
      </c>
      <c r="B37">
        <f t="shared" si="3"/>
        <v>137</v>
      </c>
      <c r="C37" s="14" t="s">
        <v>44</v>
      </c>
      <c r="D37" s="11"/>
      <c r="E37" s="9">
        <f>SUM(86.9852071005917*0.5)</f>
        <v>43.492603550295847</v>
      </c>
      <c r="F37" s="9">
        <v>71.5976331360947</v>
      </c>
      <c r="G37" s="9">
        <v>78.686390532544394</v>
      </c>
      <c r="H37" s="9">
        <v>76.884615384615401</v>
      </c>
      <c r="I37" s="9">
        <v>83.763313609467502</v>
      </c>
      <c r="J37" s="9">
        <v>95.630177514792905</v>
      </c>
      <c r="K37" s="9">
        <v>80.366863905325403</v>
      </c>
      <c r="L37" s="9">
        <v>79.541420118343197</v>
      </c>
      <c r="M37" s="9">
        <v>79.035502958579897</v>
      </c>
      <c r="N37" s="9">
        <v>83.786982248520701</v>
      </c>
      <c r="O37" s="9">
        <v>96.647928994082804</v>
      </c>
      <c r="P37" s="9">
        <v>79.328402366863898</v>
      </c>
      <c r="Q37" s="9">
        <v>69.571005917159795</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f t="shared" si="4"/>
        <v>1069.249482248521</v>
      </c>
      <c r="AY37" s="9">
        <f t="shared" si="5"/>
        <v>284.1943047337279</v>
      </c>
      <c r="AZ37" s="9">
        <f t="shared" si="6"/>
        <v>345.80103550295854</v>
      </c>
      <c r="BA37" s="9">
        <f t="shared" si="7"/>
        <v>556.9426775147931</v>
      </c>
      <c r="BB37" s="9">
        <f t="shared" si="8"/>
        <v>512.30680473372774</v>
      </c>
      <c r="BC37" s="19"/>
      <c r="BD37" s="9">
        <v>630</v>
      </c>
      <c r="BF37" s="252">
        <v>557</v>
      </c>
      <c r="BH37" s="252">
        <v>119</v>
      </c>
      <c r="BI37" s="252">
        <f t="shared" si="9"/>
        <v>119</v>
      </c>
      <c r="BJ37" s="252">
        <f t="shared" si="10"/>
        <v>1018.3328402366866</v>
      </c>
      <c r="BK37" s="256">
        <f t="shared" si="21"/>
        <v>119</v>
      </c>
      <c r="BP37" s="252">
        <v>120</v>
      </c>
      <c r="BQ37" s="252">
        <f t="shared" si="11"/>
        <v>120</v>
      </c>
      <c r="BR37" s="256">
        <f t="shared" si="12"/>
        <v>1018.3328402366866</v>
      </c>
      <c r="BS37" s="255">
        <f t="shared" si="22"/>
        <v>120</v>
      </c>
      <c r="BU37" s="252">
        <v>38</v>
      </c>
      <c r="BW37" s="9">
        <v>2</v>
      </c>
      <c r="BX37" s="9">
        <v>82</v>
      </c>
      <c r="BY37" s="9">
        <v>80</v>
      </c>
      <c r="BZ37" s="9">
        <v>70</v>
      </c>
      <c r="CA37" s="9">
        <v>76</v>
      </c>
      <c r="CB37" s="9">
        <v>76</v>
      </c>
      <c r="CC37" s="9">
        <v>86</v>
      </c>
      <c r="CD37" s="9">
        <v>97</v>
      </c>
      <c r="CE37" s="9">
        <v>89</v>
      </c>
      <c r="CF37" s="9">
        <v>84</v>
      </c>
      <c r="CG37" s="9">
        <v>77</v>
      </c>
      <c r="CH37" s="9">
        <v>88</v>
      </c>
      <c r="CI37" s="9">
        <v>97</v>
      </c>
      <c r="CJ37" s="9">
        <v>70</v>
      </c>
      <c r="CK37" s="23">
        <f t="shared" si="13"/>
        <v>1031</v>
      </c>
      <c r="CL37">
        <f t="shared" si="14"/>
        <v>267</v>
      </c>
      <c r="CM37">
        <f t="shared" si="15"/>
        <v>332</v>
      </c>
      <c r="CN37" s="23">
        <f t="shared" si="16"/>
        <v>526</v>
      </c>
      <c r="CO37">
        <f t="shared" si="20"/>
        <v>505</v>
      </c>
      <c r="CQ37" s="23">
        <f t="shared" si="18"/>
        <v>567</v>
      </c>
      <c r="CR37" s="23">
        <f t="shared" si="19"/>
        <v>505</v>
      </c>
    </row>
    <row r="38" spans="1:96" ht="29.25">
      <c r="A38" t="str">
        <f t="shared" si="0"/>
        <v>139</v>
      </c>
      <c r="B38">
        <f t="shared" si="3"/>
        <v>139</v>
      </c>
      <c r="C38" s="14" t="s">
        <v>45</v>
      </c>
      <c r="D38" s="11"/>
      <c r="E38" s="9">
        <f>SUM(568.316313605954*0.5)</f>
        <v>284.15815680297698</v>
      </c>
      <c r="F38" s="9">
        <v>629.98224852070996</v>
      </c>
      <c r="G38" s="9">
        <v>628.83431952662704</v>
      </c>
      <c r="H38" s="9">
        <v>649.84615384615404</v>
      </c>
      <c r="I38" s="9">
        <v>705.40236686390494</v>
      </c>
      <c r="J38" s="9">
        <v>706.53254437869805</v>
      </c>
      <c r="K38" s="9">
        <v>656.98520710059199</v>
      </c>
      <c r="L38" s="9">
        <v>615.33136094674603</v>
      </c>
      <c r="M38" s="9">
        <v>598.60946745562103</v>
      </c>
      <c r="N38" s="9">
        <v>633.53533428392598</v>
      </c>
      <c r="O38" s="9">
        <v>584.95294117647097</v>
      </c>
      <c r="P38" s="9">
        <v>469.96764705882401</v>
      </c>
      <c r="Q38" s="9">
        <v>420.570588235294</v>
      </c>
      <c r="R38" s="9">
        <v>12.2239783529412</v>
      </c>
      <c r="S38" s="9">
        <v>23.659311797211299</v>
      </c>
      <c r="T38" s="9">
        <v>22.953561647058802</v>
      </c>
      <c r="U38" s="9">
        <v>2.6679938686131401</v>
      </c>
      <c r="V38" s="9">
        <v>15.417054303348801</v>
      </c>
      <c r="W38" s="9">
        <v>22.664292120048</v>
      </c>
      <c r="X38" s="9">
        <v>58.464934688894203</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13.777450980392199</v>
      </c>
      <c r="AR38" s="9">
        <v>20.5833333333333</v>
      </c>
      <c r="AS38" s="9">
        <v>28.931372549019599</v>
      </c>
      <c r="AT38" s="9">
        <v>36.356862745097999</v>
      </c>
      <c r="AU38" s="9">
        <v>31.883333333333301</v>
      </c>
      <c r="AV38" s="9">
        <v>33.328431372548998</v>
      </c>
      <c r="AW38" s="9">
        <v>5.8009803921568599</v>
      </c>
      <c r="AX38" s="9">
        <f t="shared" si="4"/>
        <v>8309.092289064567</v>
      </c>
      <c r="AY38" s="9">
        <f t="shared" si="5"/>
        <v>2302.4619226312911</v>
      </c>
      <c r="AZ38" s="9">
        <f t="shared" si="6"/>
        <v>2431.390913257484</v>
      </c>
      <c r="BA38" s="9">
        <f t="shared" si="7"/>
        <v>4502.1295476916457</v>
      </c>
      <c r="BB38" s="9">
        <f t="shared" si="8"/>
        <v>3806.962741372924</v>
      </c>
      <c r="BC38" s="19"/>
      <c r="BD38" s="9">
        <v>5076</v>
      </c>
      <c r="BF38" s="252">
        <v>5098</v>
      </c>
      <c r="BH38" s="252">
        <v>946</v>
      </c>
      <c r="BI38" s="252">
        <f t="shared" si="9"/>
        <v>946</v>
      </c>
      <c r="BJ38" s="252">
        <f t="shared" si="10"/>
        <v>7584.7083361965433</v>
      </c>
      <c r="BK38" s="256">
        <f t="shared" si="21"/>
        <v>946</v>
      </c>
      <c r="BP38" s="252">
        <v>1335</v>
      </c>
      <c r="BQ38" s="252">
        <f t="shared" si="11"/>
        <v>1335</v>
      </c>
      <c r="BR38" s="256">
        <f t="shared" si="12"/>
        <v>7584.7083361965433</v>
      </c>
      <c r="BS38" s="255">
        <f t="shared" si="22"/>
        <v>1335</v>
      </c>
      <c r="BU38" s="252">
        <v>242</v>
      </c>
      <c r="BW38" s="9">
        <v>107</v>
      </c>
      <c r="BX38" s="9">
        <v>675</v>
      </c>
      <c r="BY38" s="9">
        <v>657</v>
      </c>
      <c r="BZ38" s="9">
        <v>703</v>
      </c>
      <c r="CA38" s="9">
        <v>676</v>
      </c>
      <c r="CB38" s="9">
        <v>697</v>
      </c>
      <c r="CC38" s="9">
        <v>757</v>
      </c>
      <c r="CD38" s="9">
        <v>798</v>
      </c>
      <c r="CE38" s="9">
        <v>742</v>
      </c>
      <c r="CF38" s="9">
        <v>703</v>
      </c>
      <c r="CG38" s="9">
        <v>730</v>
      </c>
      <c r="CH38" s="9">
        <v>673</v>
      </c>
      <c r="CI38" s="9">
        <v>625</v>
      </c>
      <c r="CJ38" s="9">
        <v>548</v>
      </c>
      <c r="CK38" s="23">
        <f t="shared" si="13"/>
        <v>8689.1654411764703</v>
      </c>
      <c r="CL38">
        <f t="shared" si="14"/>
        <v>2373.5</v>
      </c>
      <c r="CM38">
        <f t="shared" si="15"/>
        <v>2602.8424019607842</v>
      </c>
      <c r="CN38" s="23">
        <f t="shared" si="16"/>
        <v>4628.9443627450983</v>
      </c>
      <c r="CO38">
        <f t="shared" si="20"/>
        <v>4060.2210784313725</v>
      </c>
      <c r="CQ38" s="23">
        <f t="shared" si="18"/>
        <v>4966.4443627450983</v>
      </c>
      <c r="CR38" s="23">
        <f t="shared" si="19"/>
        <v>4060.2210784313725</v>
      </c>
    </row>
    <row r="39" spans="1:96" ht="29.25">
      <c r="A39" t="str">
        <f t="shared" si="0"/>
        <v>148</v>
      </c>
      <c r="B39">
        <f t="shared" si="3"/>
        <v>148</v>
      </c>
      <c r="C39" s="14" t="s">
        <v>46</v>
      </c>
      <c r="D39" s="11"/>
      <c r="E39" s="9">
        <f>SUM(32.4275362318841*0.5)</f>
        <v>16.213768115942049</v>
      </c>
      <c r="F39" s="9">
        <v>33.032142857142901</v>
      </c>
      <c r="G39" s="9">
        <v>42.146428571428601</v>
      </c>
      <c r="H39" s="9">
        <v>27.053571428571399</v>
      </c>
      <c r="I39" s="9">
        <v>49.157142857142901</v>
      </c>
      <c r="J39" s="9">
        <v>45.896428571428601</v>
      </c>
      <c r="K39" s="9">
        <v>37.060714285714297</v>
      </c>
      <c r="L39" s="9">
        <v>43.657142857142901</v>
      </c>
      <c r="M39" s="9">
        <v>36.1357142857143</v>
      </c>
      <c r="N39" s="9">
        <v>41.392857142857103</v>
      </c>
      <c r="O39" s="9">
        <v>37.310714285714297</v>
      </c>
      <c r="P39" s="9">
        <v>27.860714285714302</v>
      </c>
      <c r="Q39" s="9">
        <v>35.078571428571401</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9">
        <v>0</v>
      </c>
      <c r="AS39" s="9">
        <v>0</v>
      </c>
      <c r="AT39" s="9">
        <v>0</v>
      </c>
      <c r="AU39" s="9">
        <v>0</v>
      </c>
      <c r="AV39" s="9">
        <v>0</v>
      </c>
      <c r="AW39" s="9">
        <v>0</v>
      </c>
      <c r="AX39" s="9">
        <f t="shared" si="4"/>
        <v>495.59570652173943</v>
      </c>
      <c r="AY39" s="9">
        <f t="shared" si="5"/>
        <v>124.3682065217392</v>
      </c>
      <c r="AZ39" s="9">
        <f t="shared" si="6"/>
        <v>148.72499999999994</v>
      </c>
      <c r="BA39" s="9">
        <f t="shared" si="7"/>
        <v>263.08820652173932</v>
      </c>
      <c r="BB39" s="9">
        <f t="shared" si="8"/>
        <v>232.50750000000005</v>
      </c>
      <c r="BC39" s="19"/>
      <c r="BD39" s="9">
        <v>252</v>
      </c>
      <c r="BF39" s="252">
        <v>223</v>
      </c>
      <c r="BH39" s="252">
        <v>71</v>
      </c>
      <c r="BI39" s="252">
        <f t="shared" si="9"/>
        <v>71</v>
      </c>
      <c r="BJ39" s="252">
        <f t="shared" si="10"/>
        <v>471.99591097308513</v>
      </c>
      <c r="BK39" s="256">
        <f t="shared" si="21"/>
        <v>71</v>
      </c>
      <c r="BP39" s="252" t="s">
        <v>239</v>
      </c>
      <c r="BQ39" s="252" t="str">
        <f t="shared" si="11"/>
        <v/>
      </c>
      <c r="BR39" s="256" t="str">
        <f t="shared" si="12"/>
        <v/>
      </c>
      <c r="BS39" s="255">
        <f t="shared" si="22"/>
        <v>42.39274128674618</v>
      </c>
      <c r="BU39" s="252">
        <v>0</v>
      </c>
      <c r="BW39" s="9">
        <v>12</v>
      </c>
      <c r="BX39" s="9">
        <v>43</v>
      </c>
      <c r="BY39" s="9">
        <v>38</v>
      </c>
      <c r="BZ39" s="9">
        <v>36</v>
      </c>
      <c r="CA39" s="9">
        <v>45</v>
      </c>
      <c r="CB39" s="9">
        <v>29</v>
      </c>
      <c r="CC39" s="9">
        <v>53</v>
      </c>
      <c r="CD39" s="9">
        <v>49</v>
      </c>
      <c r="CE39" s="9">
        <v>39</v>
      </c>
      <c r="CF39" s="9">
        <v>44</v>
      </c>
      <c r="CG39" s="9">
        <v>38</v>
      </c>
      <c r="CH39" s="9">
        <v>42</v>
      </c>
      <c r="CI39" s="9">
        <v>41</v>
      </c>
      <c r="CJ39" s="9">
        <v>27</v>
      </c>
      <c r="CK39" s="23">
        <f t="shared" si="13"/>
        <v>502.5</v>
      </c>
      <c r="CL39">
        <f t="shared" si="14"/>
        <v>140.5</v>
      </c>
      <c r="CM39">
        <f t="shared" si="15"/>
        <v>148</v>
      </c>
      <c r="CN39" s="23">
        <f t="shared" si="16"/>
        <v>271.5</v>
      </c>
      <c r="CO39">
        <f t="shared" si="20"/>
        <v>231</v>
      </c>
      <c r="CQ39" s="23">
        <f t="shared" si="18"/>
        <v>293</v>
      </c>
      <c r="CR39" s="23">
        <f t="shared" si="19"/>
        <v>231</v>
      </c>
    </row>
    <row r="40" spans="1:96" ht="29.25">
      <c r="A40" t="str">
        <f t="shared" si="0"/>
        <v>149</v>
      </c>
      <c r="B40">
        <f t="shared" si="3"/>
        <v>149</v>
      </c>
      <c r="C40" s="14" t="s">
        <v>47</v>
      </c>
      <c r="D40" s="11"/>
      <c r="E40" s="9">
        <f>SUM(10.1034482758621*0.5)</f>
        <v>5.0517241379310498</v>
      </c>
      <c r="F40" s="9">
        <v>8.5416666666666696</v>
      </c>
      <c r="G40" s="9">
        <v>13.5173611111111</v>
      </c>
      <c r="H40" s="9">
        <v>7.8090277777777803</v>
      </c>
      <c r="I40" s="9">
        <v>13.3159722222222</v>
      </c>
      <c r="J40" s="9">
        <v>14.0625</v>
      </c>
      <c r="K40" s="9">
        <v>11.1354166666667</v>
      </c>
      <c r="L40" s="9">
        <v>10.4791666666667</v>
      </c>
      <c r="M40" s="9">
        <v>13.2430555555556</v>
      </c>
      <c r="N40" s="9">
        <v>12.5763888888889</v>
      </c>
      <c r="O40" s="9">
        <v>17.2881944444444</v>
      </c>
      <c r="P40" s="9">
        <v>10.6388888888889</v>
      </c>
      <c r="Q40" s="9">
        <v>11.2743055555556</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AW40" s="9">
        <v>0</v>
      </c>
      <c r="AX40" s="9">
        <f t="shared" si="4"/>
        <v>156.38035201149441</v>
      </c>
      <c r="AY40" s="9">
        <f t="shared" si="5"/>
        <v>36.66576867816093</v>
      </c>
      <c r="AZ40" s="9">
        <f t="shared" si="6"/>
        <v>54.366666666666696</v>
      </c>
      <c r="BA40" s="9">
        <f t="shared" si="7"/>
        <v>77.105352011494276</v>
      </c>
      <c r="BB40" s="9">
        <f t="shared" si="8"/>
        <v>79.275000000000105</v>
      </c>
      <c r="BC40" s="19"/>
      <c r="BD40" s="9">
        <v>60</v>
      </c>
      <c r="BF40" s="252">
        <v>72</v>
      </c>
      <c r="BH40" s="252">
        <v>33</v>
      </c>
      <c r="BI40" s="252">
        <f t="shared" si="9"/>
        <v>33</v>
      </c>
      <c r="BJ40" s="252">
        <f t="shared" si="10"/>
        <v>148.93366858237562</v>
      </c>
      <c r="BK40" s="256">
        <f t="shared" si="21"/>
        <v>33</v>
      </c>
      <c r="BP40" s="252">
        <v>0</v>
      </c>
      <c r="BQ40" s="252">
        <f t="shared" si="11"/>
        <v>0</v>
      </c>
      <c r="BR40" s="256">
        <f t="shared" si="12"/>
        <v>148.93366858237562</v>
      </c>
      <c r="BS40" s="255">
        <f t="shared" si="22"/>
        <v>0</v>
      </c>
      <c r="BU40" s="252">
        <v>0</v>
      </c>
      <c r="BW40" s="9">
        <v>8</v>
      </c>
      <c r="BX40" s="9">
        <v>14</v>
      </c>
      <c r="BY40" s="9">
        <v>10</v>
      </c>
      <c r="BZ40" s="9">
        <v>7</v>
      </c>
      <c r="CA40" s="9">
        <v>13</v>
      </c>
      <c r="CB40" s="9">
        <v>9</v>
      </c>
      <c r="CC40" s="9">
        <v>16</v>
      </c>
      <c r="CD40" s="9">
        <v>14</v>
      </c>
      <c r="CE40" s="9">
        <v>11</v>
      </c>
      <c r="CF40" s="9">
        <v>11</v>
      </c>
      <c r="CG40" s="9">
        <v>15</v>
      </c>
      <c r="CH40" s="9">
        <v>14</v>
      </c>
      <c r="CI40" s="9">
        <v>17</v>
      </c>
      <c r="CJ40" s="9">
        <v>13</v>
      </c>
      <c r="CK40" s="23">
        <f t="shared" si="13"/>
        <v>157</v>
      </c>
      <c r="CL40">
        <f t="shared" si="14"/>
        <v>37</v>
      </c>
      <c r="CM40">
        <f t="shared" si="15"/>
        <v>59</v>
      </c>
      <c r="CN40" s="23">
        <f t="shared" si="16"/>
        <v>76</v>
      </c>
      <c r="CO40">
        <f t="shared" si="20"/>
        <v>100</v>
      </c>
      <c r="CQ40" s="23">
        <f t="shared" si="18"/>
        <v>83</v>
      </c>
      <c r="CR40" s="23">
        <f t="shared" si="19"/>
        <v>81</v>
      </c>
    </row>
    <row r="41" spans="1:96" ht="29.25">
      <c r="A41" t="str">
        <f t="shared" si="0"/>
        <v>150</v>
      </c>
      <c r="B41">
        <f t="shared" si="3"/>
        <v>150</v>
      </c>
      <c r="C41" s="14" t="s">
        <v>48</v>
      </c>
      <c r="D41" s="11"/>
      <c r="E41" s="9">
        <f>SUM(56.8985507246377*0.5)</f>
        <v>28.449275362318851</v>
      </c>
      <c r="F41" s="9">
        <v>66.878571428571405</v>
      </c>
      <c r="G41" s="9">
        <v>62.303571428571402</v>
      </c>
      <c r="H41" s="9">
        <v>61.128571428571398</v>
      </c>
      <c r="I41" s="9">
        <v>70.025000000000006</v>
      </c>
      <c r="J41" s="9">
        <v>53.882142857142902</v>
      </c>
      <c r="K41" s="9">
        <v>49.710714285714303</v>
      </c>
      <c r="L41" s="9">
        <v>70.349999999999994</v>
      </c>
      <c r="M41" s="9">
        <v>58.285714285714299</v>
      </c>
      <c r="N41" s="9">
        <v>72.258865248226996</v>
      </c>
      <c r="O41" s="9">
        <v>58.843971631205697</v>
      </c>
      <c r="P41" s="9">
        <v>54.921985815602802</v>
      </c>
      <c r="Q41" s="9">
        <v>52.404255319148902</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9">
        <v>0</v>
      </c>
      <c r="AS41" s="9">
        <v>0</v>
      </c>
      <c r="AT41" s="9">
        <v>0</v>
      </c>
      <c r="AU41" s="9">
        <v>0</v>
      </c>
      <c r="AV41" s="9">
        <v>0</v>
      </c>
      <c r="AW41" s="9">
        <v>0</v>
      </c>
      <c r="AX41" s="9">
        <f t="shared" si="4"/>
        <v>797.41477104532851</v>
      </c>
      <c r="AY41" s="9">
        <f t="shared" si="5"/>
        <v>229.69798913043471</v>
      </c>
      <c r="AZ41" s="9">
        <f t="shared" si="6"/>
        <v>250.35053191489359</v>
      </c>
      <c r="BA41" s="9">
        <f t="shared" si="7"/>
        <v>411.99673913043478</v>
      </c>
      <c r="BB41" s="9">
        <f t="shared" si="8"/>
        <v>385.41803191489362</v>
      </c>
      <c r="BC41" s="19"/>
      <c r="BD41" s="9">
        <v>276</v>
      </c>
      <c r="BF41" s="252">
        <v>252</v>
      </c>
      <c r="BH41" s="252">
        <v>97</v>
      </c>
      <c r="BI41" s="252">
        <f t="shared" si="9"/>
        <v>97</v>
      </c>
      <c r="BJ41" s="252">
        <f t="shared" si="10"/>
        <v>759.44263909078904</v>
      </c>
      <c r="BK41" s="256">
        <f t="shared" si="21"/>
        <v>97</v>
      </c>
      <c r="BP41" s="252" t="s">
        <v>239</v>
      </c>
      <c r="BQ41" s="252" t="str">
        <f t="shared" si="11"/>
        <v/>
      </c>
      <c r="BR41" s="256" t="str">
        <f t="shared" si="12"/>
        <v/>
      </c>
      <c r="BS41" s="255">
        <f t="shared" si="22"/>
        <v>68.210030156247328</v>
      </c>
      <c r="BU41" s="252">
        <v>28</v>
      </c>
      <c r="BW41" s="9">
        <v>13</v>
      </c>
      <c r="BX41" s="9">
        <v>76</v>
      </c>
      <c r="BY41" s="9">
        <v>69</v>
      </c>
      <c r="BZ41" s="9">
        <v>78</v>
      </c>
      <c r="CA41" s="9">
        <v>71</v>
      </c>
      <c r="CB41" s="9">
        <v>66</v>
      </c>
      <c r="CC41" s="9">
        <v>79</v>
      </c>
      <c r="CD41" s="9">
        <v>61</v>
      </c>
      <c r="CE41" s="9">
        <v>61</v>
      </c>
      <c r="CF41" s="9">
        <v>69</v>
      </c>
      <c r="CG41" s="9">
        <v>62</v>
      </c>
      <c r="CH41" s="9">
        <v>81</v>
      </c>
      <c r="CI41" s="9">
        <v>60</v>
      </c>
      <c r="CJ41" s="9">
        <v>56</v>
      </c>
      <c r="CK41" s="23">
        <f t="shared" si="13"/>
        <v>851</v>
      </c>
      <c r="CL41">
        <f t="shared" si="14"/>
        <v>256</v>
      </c>
      <c r="CM41">
        <f t="shared" si="15"/>
        <v>259</v>
      </c>
      <c r="CN41" s="23">
        <f t="shared" si="16"/>
        <v>462</v>
      </c>
      <c r="CO41">
        <f t="shared" si="20"/>
        <v>389</v>
      </c>
      <c r="CQ41" s="23">
        <f t="shared" si="18"/>
        <v>500</v>
      </c>
      <c r="CR41" s="23">
        <f t="shared" si="19"/>
        <v>389</v>
      </c>
    </row>
    <row r="42" spans="1:96" ht="29.25">
      <c r="A42" t="str">
        <f t="shared" si="0"/>
        <v>151</v>
      </c>
      <c r="B42">
        <f t="shared" si="3"/>
        <v>151</v>
      </c>
      <c r="C42" s="14" t="s">
        <v>49</v>
      </c>
      <c r="D42" s="11"/>
      <c r="E42" s="9">
        <f>SUM(396.009008367687*0.5)</f>
        <v>198.00450418384349</v>
      </c>
      <c r="F42" s="9">
        <v>383.96175420200399</v>
      </c>
      <c r="G42" s="9">
        <v>394.212640237561</v>
      </c>
      <c r="H42" s="9">
        <v>390.66737122052302</v>
      </c>
      <c r="I42" s="9">
        <v>384.13871009687301</v>
      </c>
      <c r="J42" s="9">
        <v>423.58075054039602</v>
      </c>
      <c r="K42" s="9">
        <v>394.41736299158799</v>
      </c>
      <c r="L42" s="9">
        <v>424.072341752417</v>
      </c>
      <c r="M42" s="9">
        <v>379.953903804243</v>
      </c>
      <c r="N42" s="9">
        <v>376.81320335839001</v>
      </c>
      <c r="O42" s="9">
        <v>357.22900004242803</v>
      </c>
      <c r="P42" s="9">
        <v>320.30029642470799</v>
      </c>
      <c r="Q42" s="9">
        <v>308.98479374742197</v>
      </c>
      <c r="R42" s="9">
        <v>0</v>
      </c>
      <c r="S42" s="9">
        <v>3.7009672762857102</v>
      </c>
      <c r="T42" s="9">
        <v>13.236349672447</v>
      </c>
      <c r="U42" s="9">
        <v>18.699494489402699</v>
      </c>
      <c r="V42" s="9">
        <v>28.721930867051999</v>
      </c>
      <c r="W42" s="9">
        <v>24.611832070303599</v>
      </c>
      <c r="X42" s="9">
        <v>38.639806088632</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21.7009803921569</v>
      </c>
      <c r="AS42" s="9">
        <v>29.553921568627501</v>
      </c>
      <c r="AT42" s="9">
        <v>17.102941176470601</v>
      </c>
      <c r="AU42" s="9">
        <v>26.0343137254902</v>
      </c>
      <c r="AV42" s="9">
        <v>18.634313725490198</v>
      </c>
      <c r="AW42" s="9">
        <v>4.8656862745098</v>
      </c>
      <c r="AX42" s="9">
        <f t="shared" si="4"/>
        <v>5230.9311284257292</v>
      </c>
      <c r="AY42" s="9">
        <f t="shared" si="5"/>
        <v>1435.1885833361282</v>
      </c>
      <c r="AZ42" s="9">
        <f t="shared" si="6"/>
        <v>1617.6694925898141</v>
      </c>
      <c r="BA42" s="9">
        <f t="shared" si="7"/>
        <v>2697.4322481464283</v>
      </c>
      <c r="BB42" s="9">
        <f t="shared" si="8"/>
        <v>2533.4988802792996</v>
      </c>
      <c r="BC42" s="19"/>
      <c r="BD42" s="9">
        <v>2561</v>
      </c>
      <c r="BF42" s="252">
        <v>2582</v>
      </c>
      <c r="BH42" s="252">
        <v>581</v>
      </c>
      <c r="BI42" s="252">
        <f t="shared" si="9"/>
        <v>581</v>
      </c>
      <c r="BJ42" s="252">
        <f t="shared" si="10"/>
        <v>4736.336632602397</v>
      </c>
      <c r="BK42" s="256">
        <f t="shared" si="21"/>
        <v>581</v>
      </c>
      <c r="BP42" s="252">
        <v>860</v>
      </c>
      <c r="BQ42" s="252">
        <f t="shared" si="11"/>
        <v>860</v>
      </c>
      <c r="BR42" s="256">
        <f t="shared" si="12"/>
        <v>4736.336632602397</v>
      </c>
      <c r="BS42" s="255">
        <f t="shared" si="22"/>
        <v>860</v>
      </c>
      <c r="BU42" s="252">
        <v>55</v>
      </c>
      <c r="BW42" s="9">
        <v>60</v>
      </c>
      <c r="BX42" s="9">
        <v>386</v>
      </c>
      <c r="BY42" s="9">
        <v>420</v>
      </c>
      <c r="BZ42" s="9">
        <v>414</v>
      </c>
      <c r="CA42" s="9">
        <v>434</v>
      </c>
      <c r="CB42" s="9">
        <v>411</v>
      </c>
      <c r="CC42" s="9">
        <v>414</v>
      </c>
      <c r="CD42" s="9">
        <v>466</v>
      </c>
      <c r="CE42" s="9">
        <v>442</v>
      </c>
      <c r="CF42" s="9">
        <v>469</v>
      </c>
      <c r="CG42" s="9">
        <v>435</v>
      </c>
      <c r="CH42" s="9">
        <v>410</v>
      </c>
      <c r="CI42" s="9">
        <v>337</v>
      </c>
      <c r="CJ42" s="9">
        <v>371</v>
      </c>
      <c r="CK42" s="23">
        <f t="shared" si="13"/>
        <v>5245.4730392156862</v>
      </c>
      <c r="CL42">
        <f t="shared" si="14"/>
        <v>1461</v>
      </c>
      <c r="CM42">
        <f t="shared" si="15"/>
        <v>1569.6593137254902</v>
      </c>
      <c r="CN42" s="23">
        <f t="shared" si="16"/>
        <v>2752</v>
      </c>
      <c r="CO42">
        <f t="shared" si="20"/>
        <v>2493.4730392156862</v>
      </c>
      <c r="CQ42" s="23">
        <f t="shared" si="18"/>
        <v>2945</v>
      </c>
      <c r="CR42" s="23">
        <f t="shared" si="19"/>
        <v>2493.4730392156862</v>
      </c>
    </row>
    <row r="43" spans="1:96" ht="29.25">
      <c r="A43" t="str">
        <f t="shared" si="0"/>
        <v>161</v>
      </c>
      <c r="B43">
        <f t="shared" si="3"/>
        <v>161</v>
      </c>
      <c r="C43" s="14" t="s">
        <v>50</v>
      </c>
      <c r="D43" s="11"/>
      <c r="E43" s="9">
        <f>SUM(8.36170212765957*0.5)</f>
        <v>4.1808510638297847</v>
      </c>
      <c r="F43" s="9">
        <v>6.5602836879432598</v>
      </c>
      <c r="G43" s="9">
        <v>6.9574468085106398</v>
      </c>
      <c r="H43" s="9">
        <v>9.0567375886524797</v>
      </c>
      <c r="I43" s="9">
        <v>10.563829787234001</v>
      </c>
      <c r="J43" s="9">
        <v>6.1595744680851103</v>
      </c>
      <c r="K43" s="9">
        <v>12.578014184397199</v>
      </c>
      <c r="L43" s="9">
        <v>13.258865248227</v>
      </c>
      <c r="M43" s="9">
        <v>9.5709219858156001</v>
      </c>
      <c r="N43" s="9">
        <v>10.3758865248227</v>
      </c>
      <c r="O43" s="9">
        <v>7.3049645390070896</v>
      </c>
      <c r="P43" s="9">
        <v>8.6170212765957395</v>
      </c>
      <c r="Q43" s="9">
        <v>13.5035971223022</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0</v>
      </c>
      <c r="AT43" s="9">
        <v>0</v>
      </c>
      <c r="AU43" s="9">
        <v>0</v>
      </c>
      <c r="AV43" s="9">
        <v>0</v>
      </c>
      <c r="AW43" s="9">
        <v>0</v>
      </c>
      <c r="AX43" s="9">
        <f t="shared" si="4"/>
        <v>124.62239399969395</v>
      </c>
      <c r="AY43" s="9">
        <f t="shared" si="5"/>
        <v>28.093085106382976</v>
      </c>
      <c r="AZ43" s="9">
        <f t="shared" si="6"/>
        <v>41.791542935864122</v>
      </c>
      <c r="BA43" s="9">
        <f t="shared" si="7"/>
        <v>58.8595744680851</v>
      </c>
      <c r="BB43" s="9">
        <f t="shared" si="8"/>
        <v>65.762819531608841</v>
      </c>
      <c r="BC43" s="19"/>
      <c r="BD43" s="9">
        <v>93</v>
      </c>
      <c r="BF43" s="252">
        <v>90</v>
      </c>
      <c r="BH43" s="252">
        <v>13</v>
      </c>
      <c r="BI43" s="252">
        <f t="shared" si="9"/>
        <v>13</v>
      </c>
      <c r="BJ43" s="252">
        <f t="shared" si="10"/>
        <v>118.6879942854228</v>
      </c>
      <c r="BK43" s="256">
        <f t="shared" si="21"/>
        <v>13</v>
      </c>
      <c r="BP43" s="252">
        <v>28</v>
      </c>
      <c r="BQ43" s="252">
        <f t="shared" si="11"/>
        <v>28</v>
      </c>
      <c r="BR43" s="256">
        <f t="shared" si="12"/>
        <v>118.6879942854228</v>
      </c>
      <c r="BS43" s="255">
        <f t="shared" si="22"/>
        <v>28</v>
      </c>
      <c r="BU43" s="252">
        <v>0</v>
      </c>
      <c r="BW43" s="9">
        <v>0</v>
      </c>
      <c r="BX43" s="9">
        <v>12</v>
      </c>
      <c r="BY43" s="9">
        <v>8</v>
      </c>
      <c r="BZ43" s="9">
        <v>5</v>
      </c>
      <c r="CA43" s="9">
        <v>8</v>
      </c>
      <c r="CB43" s="9">
        <v>9</v>
      </c>
      <c r="CC43" s="9">
        <v>10</v>
      </c>
      <c r="CD43" s="9">
        <v>8</v>
      </c>
      <c r="CE43" s="9">
        <v>14</v>
      </c>
      <c r="CF43" s="9">
        <v>12</v>
      </c>
      <c r="CG43" s="9">
        <v>9</v>
      </c>
      <c r="CH43" s="9">
        <v>10</v>
      </c>
      <c r="CI43" s="9">
        <v>5</v>
      </c>
      <c r="CJ43" s="9">
        <v>12</v>
      </c>
      <c r="CK43" s="23">
        <f t="shared" si="13"/>
        <v>116</v>
      </c>
      <c r="CL43">
        <f t="shared" si="14"/>
        <v>27</v>
      </c>
      <c r="CM43">
        <f t="shared" si="15"/>
        <v>36</v>
      </c>
      <c r="CN43" s="23">
        <f t="shared" si="16"/>
        <v>54</v>
      </c>
      <c r="CO43">
        <f t="shared" si="20"/>
        <v>100</v>
      </c>
      <c r="CQ43" s="23">
        <f t="shared" si="18"/>
        <v>60</v>
      </c>
      <c r="CR43" s="23">
        <f t="shared" si="19"/>
        <v>62</v>
      </c>
    </row>
    <row r="44" spans="1:96" ht="29.25">
      <c r="A44" t="str">
        <f t="shared" si="0"/>
        <v>171</v>
      </c>
      <c r="B44">
        <f t="shared" si="3"/>
        <v>171</v>
      </c>
      <c r="C44" s="14" t="s">
        <v>51</v>
      </c>
      <c r="D44" s="11"/>
      <c r="E44" s="9">
        <f>SUM(65.8869824226284*0.5)</f>
        <v>32.943491211314203</v>
      </c>
      <c r="F44" s="9">
        <v>73.810728520323494</v>
      </c>
      <c r="G44" s="9">
        <v>65.668346689549395</v>
      </c>
      <c r="H44" s="9">
        <v>66.791098525318603</v>
      </c>
      <c r="I44" s="9">
        <v>89.194372529388204</v>
      </c>
      <c r="J44" s="9">
        <v>73.218588734216297</v>
      </c>
      <c r="K44" s="9">
        <v>81.254894564419601</v>
      </c>
      <c r="L44" s="9">
        <v>75.143191610704406</v>
      </c>
      <c r="M44" s="9">
        <v>64.443593163072507</v>
      </c>
      <c r="N44" s="9">
        <v>64.611810086831994</v>
      </c>
      <c r="O44" s="9">
        <v>74.612404423113404</v>
      </c>
      <c r="P44" s="9">
        <v>73.125600605205605</v>
      </c>
      <c r="Q44" s="9">
        <v>52.107136474449803</v>
      </c>
      <c r="R44" s="9">
        <v>0</v>
      </c>
      <c r="S44" s="9">
        <v>0</v>
      </c>
      <c r="T44" s="9">
        <v>0</v>
      </c>
      <c r="U44" s="9">
        <v>3.0012967030522399</v>
      </c>
      <c r="V44" s="9">
        <v>23.452210338492499</v>
      </c>
      <c r="W44" s="9">
        <v>62.7985201579951</v>
      </c>
      <c r="X44" s="9">
        <v>29.867069571491399</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0</v>
      </c>
      <c r="AS44" s="9">
        <v>0</v>
      </c>
      <c r="AT44" s="9">
        <v>0</v>
      </c>
      <c r="AU44" s="9">
        <v>0</v>
      </c>
      <c r="AV44" s="9">
        <v>0</v>
      </c>
      <c r="AW44" s="9">
        <v>0</v>
      </c>
      <c r="AX44" s="9">
        <f t="shared" si="4"/>
        <v>1056.3465716043856</v>
      </c>
      <c r="AY44" s="9">
        <f t="shared" si="5"/>
        <v>251.17434819383101</v>
      </c>
      <c r="AZ44" s="9">
        <f t="shared" si="6"/>
        <v>402.75485077866369</v>
      </c>
      <c r="BA44" s="9">
        <f t="shared" si="7"/>
        <v>507.0255968132563</v>
      </c>
      <c r="BB44" s="9">
        <f t="shared" si="8"/>
        <v>549.32097479112929</v>
      </c>
      <c r="BC44" s="19"/>
      <c r="BD44" s="9">
        <v>674</v>
      </c>
      <c r="BF44" s="252">
        <v>621</v>
      </c>
      <c r="BH44" s="252">
        <v>143</v>
      </c>
      <c r="BI44" s="252">
        <f t="shared" si="9"/>
        <v>143</v>
      </c>
      <c r="BJ44" s="252">
        <f t="shared" si="10"/>
        <v>886.92525713790747</v>
      </c>
      <c r="BK44" s="256">
        <f t="shared" si="21"/>
        <v>143</v>
      </c>
      <c r="BP44" s="252" t="s">
        <v>239</v>
      </c>
      <c r="BQ44" s="252" t="str">
        <f t="shared" si="11"/>
        <v/>
      </c>
      <c r="BR44" s="256" t="str">
        <f t="shared" si="12"/>
        <v/>
      </c>
      <c r="BS44" s="255">
        <f t="shared" si="22"/>
        <v>79.659997242374786</v>
      </c>
      <c r="BU44" s="252">
        <v>3</v>
      </c>
      <c r="BW44" s="9">
        <v>13</v>
      </c>
      <c r="BX44" s="9">
        <v>64</v>
      </c>
      <c r="BY44" s="9">
        <v>75</v>
      </c>
      <c r="BZ44" s="9">
        <v>82</v>
      </c>
      <c r="CA44" s="9">
        <v>67</v>
      </c>
      <c r="CB44" s="9">
        <v>72</v>
      </c>
      <c r="CC44" s="9">
        <v>102</v>
      </c>
      <c r="CD44" s="9">
        <v>84</v>
      </c>
      <c r="CE44" s="9">
        <v>83</v>
      </c>
      <c r="CF44" s="9">
        <v>88</v>
      </c>
      <c r="CG44" s="9">
        <v>79</v>
      </c>
      <c r="CH44" s="9">
        <v>47</v>
      </c>
      <c r="CI44" s="9">
        <v>78</v>
      </c>
      <c r="CJ44" s="9">
        <v>98</v>
      </c>
      <c r="CK44" s="23">
        <f t="shared" si="13"/>
        <v>987</v>
      </c>
      <c r="CL44">
        <f t="shared" si="14"/>
        <v>256</v>
      </c>
      <c r="CM44">
        <f t="shared" si="15"/>
        <v>302</v>
      </c>
      <c r="CN44" s="23">
        <f t="shared" si="16"/>
        <v>514</v>
      </c>
      <c r="CO44">
        <f t="shared" si="20"/>
        <v>473</v>
      </c>
      <c r="CQ44" s="23">
        <f t="shared" si="18"/>
        <v>546</v>
      </c>
      <c r="CR44" s="23">
        <f t="shared" si="19"/>
        <v>473</v>
      </c>
    </row>
    <row r="45" spans="1:96" ht="29.25">
      <c r="A45" t="str">
        <f t="shared" si="0"/>
        <v>181</v>
      </c>
      <c r="B45">
        <f t="shared" si="3"/>
        <v>181</v>
      </c>
      <c r="C45" s="14" t="s">
        <v>52</v>
      </c>
      <c r="D45" s="11"/>
      <c r="E45" s="9">
        <f>SUM(18.2797202797203*0.5)</f>
        <v>9.1398601398601507</v>
      </c>
      <c r="F45" s="9">
        <v>23.062331737482801</v>
      </c>
      <c r="G45" s="9">
        <v>16.190086576372799</v>
      </c>
      <c r="H45" s="9">
        <v>20.1418439716312</v>
      </c>
      <c r="I45" s="9">
        <v>30.911544988863199</v>
      </c>
      <c r="J45" s="9">
        <v>24.9610570640749</v>
      </c>
      <c r="K45" s="9">
        <v>28.379339415481301</v>
      </c>
      <c r="L45" s="9">
        <v>24.896680371716698</v>
      </c>
      <c r="M45" s="9">
        <v>20.463963226523799</v>
      </c>
      <c r="N45" s="9">
        <v>25.929078014184402</v>
      </c>
      <c r="O45" s="9">
        <v>26.709219858156001</v>
      </c>
      <c r="P45" s="9">
        <v>33.0177304964539</v>
      </c>
      <c r="Q45" s="9">
        <v>29.929078014184402</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0</v>
      </c>
      <c r="AS45" s="9">
        <v>0</v>
      </c>
      <c r="AT45" s="9">
        <v>0</v>
      </c>
      <c r="AU45" s="9">
        <v>0</v>
      </c>
      <c r="AV45" s="9">
        <v>0</v>
      </c>
      <c r="AW45" s="9">
        <v>0</v>
      </c>
      <c r="AX45" s="9">
        <f t="shared" si="4"/>
        <v>329.41840456873484</v>
      </c>
      <c r="AY45" s="9">
        <f t="shared" si="5"/>
        <v>71.960828546614295</v>
      </c>
      <c r="AZ45" s="9">
        <f t="shared" si="6"/>
        <v>121.36436170212764</v>
      </c>
      <c r="BA45" s="9">
        <f t="shared" si="7"/>
        <v>160.42536708845466</v>
      </c>
      <c r="BB45" s="9">
        <f t="shared" si="8"/>
        <v>168.99303748028015</v>
      </c>
      <c r="BC45" s="19"/>
      <c r="BD45" s="9">
        <v>145</v>
      </c>
      <c r="BF45" s="252">
        <v>136</v>
      </c>
      <c r="BH45" s="252">
        <v>39</v>
      </c>
      <c r="BI45" s="252">
        <f t="shared" si="9"/>
        <v>39</v>
      </c>
      <c r="BJ45" s="252">
        <f t="shared" si="10"/>
        <v>313.73181387498556</v>
      </c>
      <c r="BK45" s="256">
        <f t="shared" si="21"/>
        <v>39</v>
      </c>
      <c r="BP45" s="252" t="s">
        <v>239</v>
      </c>
      <c r="BQ45" s="252" t="str">
        <f t="shared" si="11"/>
        <v/>
      </c>
      <c r="BR45" s="256" t="str">
        <f t="shared" si="12"/>
        <v/>
      </c>
      <c r="BS45" s="255">
        <f t="shared" si="22"/>
        <v>28.178107712001509</v>
      </c>
      <c r="BU45" s="252">
        <v>28</v>
      </c>
      <c r="BW45" s="9">
        <v>13</v>
      </c>
      <c r="BX45" s="9">
        <v>25</v>
      </c>
      <c r="BY45" s="9">
        <v>20</v>
      </c>
      <c r="BZ45" s="9">
        <v>27</v>
      </c>
      <c r="CA45" s="9">
        <v>19</v>
      </c>
      <c r="CB45" s="9">
        <v>21</v>
      </c>
      <c r="CC45" s="9">
        <v>35</v>
      </c>
      <c r="CD45" s="9">
        <v>28</v>
      </c>
      <c r="CE45" s="9">
        <v>31</v>
      </c>
      <c r="CF45" s="9">
        <v>30</v>
      </c>
      <c r="CG45" s="9">
        <v>21</v>
      </c>
      <c r="CH45" s="9">
        <v>35</v>
      </c>
      <c r="CI45" s="9">
        <v>25</v>
      </c>
      <c r="CJ45" s="9">
        <v>33</v>
      </c>
      <c r="CK45" s="23">
        <f t="shared" si="13"/>
        <v>337.5</v>
      </c>
      <c r="CL45">
        <f t="shared" si="14"/>
        <v>78.5</v>
      </c>
      <c r="CM45">
        <f t="shared" si="15"/>
        <v>114</v>
      </c>
      <c r="CN45" s="23">
        <f t="shared" si="16"/>
        <v>162.5</v>
      </c>
      <c r="CO45">
        <f t="shared" si="20"/>
        <v>175</v>
      </c>
      <c r="CQ45" s="23">
        <f t="shared" si="18"/>
        <v>175</v>
      </c>
      <c r="CR45" s="23">
        <f t="shared" si="19"/>
        <v>175</v>
      </c>
    </row>
    <row r="46" spans="1:96" ht="29.25">
      <c r="A46" t="str">
        <f t="shared" si="0"/>
        <v>182</v>
      </c>
      <c r="B46">
        <f t="shared" si="3"/>
        <v>182</v>
      </c>
      <c r="C46" s="14" t="s">
        <v>53</v>
      </c>
      <c r="D46" s="11"/>
      <c r="E46" s="9">
        <f>SUM(14.9481481481481*0.5)</f>
        <v>7.4740740740740499</v>
      </c>
      <c r="F46" s="9">
        <v>14.6906474820144</v>
      </c>
      <c r="G46" s="9">
        <v>10.482014388489199</v>
      </c>
      <c r="H46" s="9">
        <v>13.863309352518</v>
      </c>
      <c r="I46" s="9">
        <v>21.625899280575499</v>
      </c>
      <c r="J46" s="9">
        <v>19.097122302158301</v>
      </c>
      <c r="K46" s="9">
        <v>17.3920863309353</v>
      </c>
      <c r="L46" s="9">
        <v>16.755395683453202</v>
      </c>
      <c r="M46" s="9">
        <v>15.877697841726601</v>
      </c>
      <c r="N46" s="9">
        <v>20.323741007194201</v>
      </c>
      <c r="O46" s="9">
        <v>12.014388489208599</v>
      </c>
      <c r="P46" s="9">
        <v>12.5539568345324</v>
      </c>
      <c r="Q46" s="9">
        <v>8.3093525179856105</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f t="shared" si="4"/>
        <v>199.98266986410869</v>
      </c>
      <c r="AY46" s="9">
        <f t="shared" si="5"/>
        <v>48.835547561950435</v>
      </c>
      <c r="AZ46" s="9">
        <f t="shared" si="6"/>
        <v>55.861510791366854</v>
      </c>
      <c r="BA46" s="9">
        <f t="shared" si="7"/>
        <v>109.856410871303</v>
      </c>
      <c r="BB46" s="9">
        <f t="shared" si="8"/>
        <v>90.12625899280566</v>
      </c>
      <c r="BC46" s="19"/>
      <c r="BD46" s="9">
        <v>81</v>
      </c>
      <c r="BF46" s="252">
        <v>70</v>
      </c>
      <c r="BH46" s="252">
        <v>15</v>
      </c>
      <c r="BI46" s="252">
        <f t="shared" si="9"/>
        <v>15</v>
      </c>
      <c r="BJ46" s="252">
        <f t="shared" si="10"/>
        <v>190.45968558486541</v>
      </c>
      <c r="BK46" s="256">
        <f t="shared" si="21"/>
        <v>15</v>
      </c>
      <c r="BP46" s="252" t="s">
        <v>239</v>
      </c>
      <c r="BQ46" s="252" t="str">
        <f t="shared" si="11"/>
        <v/>
      </c>
      <c r="BR46" s="256" t="str">
        <f t="shared" si="12"/>
        <v/>
      </c>
      <c r="BS46" s="255">
        <f t="shared" si="22"/>
        <v>17.106309586259602</v>
      </c>
      <c r="BU46" s="252">
        <v>0</v>
      </c>
      <c r="BW46" s="9">
        <v>11</v>
      </c>
      <c r="BX46" s="9">
        <v>26</v>
      </c>
      <c r="BY46" s="9">
        <v>17</v>
      </c>
      <c r="BZ46" s="9">
        <v>13</v>
      </c>
      <c r="CA46" s="9">
        <v>13</v>
      </c>
      <c r="CB46" s="9">
        <v>16</v>
      </c>
      <c r="CC46" s="9">
        <v>23</v>
      </c>
      <c r="CD46" s="9">
        <v>20</v>
      </c>
      <c r="CE46" s="9">
        <v>17</v>
      </c>
      <c r="CF46" s="9">
        <v>18</v>
      </c>
      <c r="CG46" s="9">
        <v>16</v>
      </c>
      <c r="CH46" s="9">
        <v>23</v>
      </c>
      <c r="CI46" s="9">
        <v>11</v>
      </c>
      <c r="CJ46" s="9">
        <v>11</v>
      </c>
      <c r="CK46" s="23">
        <f t="shared" si="13"/>
        <v>211</v>
      </c>
      <c r="CL46">
        <f t="shared" si="14"/>
        <v>56</v>
      </c>
      <c r="CM46">
        <f t="shared" si="15"/>
        <v>61</v>
      </c>
      <c r="CN46" s="23">
        <f t="shared" si="16"/>
        <v>115</v>
      </c>
      <c r="CO46">
        <f t="shared" si="20"/>
        <v>100</v>
      </c>
      <c r="CQ46" s="23">
        <f t="shared" si="18"/>
        <v>128</v>
      </c>
      <c r="CR46" s="23">
        <f t="shared" si="19"/>
        <v>96</v>
      </c>
    </row>
    <row r="47" spans="1:96" ht="29.25">
      <c r="A47" t="str">
        <f t="shared" si="0"/>
        <v>191</v>
      </c>
      <c r="B47">
        <f t="shared" si="3"/>
        <v>191</v>
      </c>
      <c r="C47" s="14" t="s">
        <v>54</v>
      </c>
      <c r="D47" s="11"/>
      <c r="E47" s="9">
        <f>SUM(0*0.5)</f>
        <v>0</v>
      </c>
      <c r="F47" s="9">
        <v>0.88461538461538503</v>
      </c>
      <c r="G47" s="9">
        <v>0</v>
      </c>
      <c r="H47" s="9">
        <v>0</v>
      </c>
      <c r="I47" s="9">
        <v>0.94385964912280695</v>
      </c>
      <c r="J47" s="9">
        <v>0</v>
      </c>
      <c r="K47" s="9">
        <v>0</v>
      </c>
      <c r="L47" s="9">
        <v>0</v>
      </c>
      <c r="M47" s="9">
        <v>1.9065743944636699</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0</v>
      </c>
      <c r="AS47" s="9">
        <v>0</v>
      </c>
      <c r="AT47" s="9">
        <v>0</v>
      </c>
      <c r="AU47" s="9">
        <v>0</v>
      </c>
      <c r="AV47" s="9">
        <v>0</v>
      </c>
      <c r="AW47" s="9">
        <v>0</v>
      </c>
      <c r="AX47" s="9">
        <f t="shared" si="4"/>
        <v>3.921801899611955</v>
      </c>
      <c r="AY47" s="9">
        <f t="shared" si="5"/>
        <v>0.92884615384615432</v>
      </c>
      <c r="AZ47" s="9">
        <f t="shared" si="6"/>
        <v>0</v>
      </c>
      <c r="BA47" s="9">
        <f t="shared" si="7"/>
        <v>1.9198987854251015</v>
      </c>
      <c r="BB47" s="9">
        <f t="shared" si="8"/>
        <v>2.0019031141868537</v>
      </c>
      <c r="BC47" s="19"/>
      <c r="BD47" s="126">
        <v>0.89</v>
      </c>
      <c r="BF47" s="257">
        <v>0.86</v>
      </c>
      <c r="BH47" s="252" t="e">
        <v>#N/A</v>
      </c>
      <c r="BI47" s="252" t="str">
        <f t="shared" si="9"/>
        <v/>
      </c>
      <c r="BJ47" s="252" t="str">
        <f t="shared" si="10"/>
        <v/>
      </c>
      <c r="BK47" s="256">
        <f t="shared" si="21"/>
        <v>0.46338134621106397</v>
      </c>
      <c r="BP47" s="252">
        <v>0</v>
      </c>
      <c r="BQ47" s="252">
        <f t="shared" si="11"/>
        <v>0</v>
      </c>
      <c r="BR47" s="256">
        <f t="shared" si="12"/>
        <v>3.7350494282018616</v>
      </c>
      <c r="BS47" s="255">
        <f t="shared" si="22"/>
        <v>0</v>
      </c>
      <c r="BU47" s="252">
        <v>0</v>
      </c>
      <c r="BW47" s="9">
        <v>0</v>
      </c>
      <c r="BX47" s="9">
        <v>0</v>
      </c>
      <c r="BY47" s="9">
        <v>0</v>
      </c>
      <c r="BZ47" s="9">
        <v>0</v>
      </c>
      <c r="CA47" s="9">
        <v>1</v>
      </c>
      <c r="CB47" s="9">
        <v>0</v>
      </c>
      <c r="CC47" s="9">
        <v>0</v>
      </c>
      <c r="CD47" s="9">
        <v>1</v>
      </c>
      <c r="CE47" s="9">
        <v>0</v>
      </c>
      <c r="CF47" s="9">
        <v>0</v>
      </c>
      <c r="CG47" s="9">
        <v>0</v>
      </c>
      <c r="CH47" s="9">
        <v>0</v>
      </c>
      <c r="CI47" s="9">
        <v>0</v>
      </c>
      <c r="CJ47" s="9">
        <v>0</v>
      </c>
      <c r="CK47" s="23">
        <f t="shared" si="13"/>
        <v>2</v>
      </c>
      <c r="CL47">
        <f t="shared" si="14"/>
        <v>1</v>
      </c>
      <c r="CM47">
        <f t="shared" si="15"/>
        <v>0</v>
      </c>
      <c r="CN47" s="23">
        <f t="shared" si="16"/>
        <v>2</v>
      </c>
      <c r="CO47" s="176">
        <f>SUM(CE47:CJ47)+((AK47+AL47+AM47+AN47+AO47+AP47+AR47+AS47+AT47+AU47+AV47+AW47)*0.25)</f>
        <v>0</v>
      </c>
      <c r="CQ47" s="23">
        <f t="shared" si="18"/>
        <v>2</v>
      </c>
      <c r="CR47" s="23">
        <f t="shared" si="19"/>
        <v>0</v>
      </c>
    </row>
    <row r="48" spans="1:96" ht="29.25">
      <c r="A48" t="str">
        <f t="shared" si="0"/>
        <v>192</v>
      </c>
      <c r="B48">
        <f t="shared" si="3"/>
        <v>192</v>
      </c>
      <c r="C48" s="14" t="s">
        <v>55</v>
      </c>
      <c r="D48" s="11"/>
      <c r="E48" s="9">
        <f>SUM(22.9*0.5)</f>
        <v>11.45</v>
      </c>
      <c r="F48" s="9">
        <v>25.446666666666701</v>
      </c>
      <c r="G48" s="9">
        <v>24.706666666666699</v>
      </c>
      <c r="H48" s="9">
        <v>35.546666666666702</v>
      </c>
      <c r="I48" s="9">
        <v>29.553333333333299</v>
      </c>
      <c r="J48" s="9">
        <v>35.549999999999997</v>
      </c>
      <c r="K48" s="9">
        <v>31.136363636363601</v>
      </c>
      <c r="L48" s="9">
        <v>34.120129870129901</v>
      </c>
      <c r="M48" s="9">
        <v>34.883116883116898</v>
      </c>
      <c r="N48" s="9">
        <v>26.086666666666702</v>
      </c>
      <c r="O48" s="9">
        <v>34.196666666666701</v>
      </c>
      <c r="P48" s="9">
        <v>24.7633333333333</v>
      </c>
      <c r="Q48" s="9">
        <v>28.783333333333299</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f t="shared" si="4"/>
        <v>395.03409090909099</v>
      </c>
      <c r="AY48" s="9">
        <f t="shared" si="5"/>
        <v>102.00750000000012</v>
      </c>
      <c r="AZ48" s="9">
        <f t="shared" si="6"/>
        <v>119.52150000000002</v>
      </c>
      <c r="BA48" s="9">
        <f t="shared" si="7"/>
        <v>203.05918181818186</v>
      </c>
      <c r="BB48" s="9">
        <f t="shared" si="8"/>
        <v>191.97490909090916</v>
      </c>
      <c r="BC48" s="19"/>
      <c r="BD48" s="9">
        <v>299</v>
      </c>
      <c r="BF48" s="252">
        <v>257</v>
      </c>
      <c r="BH48" s="252">
        <v>68</v>
      </c>
      <c r="BI48" s="252">
        <f t="shared" si="9"/>
        <v>68</v>
      </c>
      <c r="BJ48" s="252">
        <f t="shared" si="10"/>
        <v>376.2229437229438</v>
      </c>
      <c r="BK48" s="256">
        <f t="shared" si="21"/>
        <v>68</v>
      </c>
      <c r="BP48" s="252">
        <v>79</v>
      </c>
      <c r="BQ48" s="252">
        <f t="shared" si="11"/>
        <v>79</v>
      </c>
      <c r="BR48" s="256">
        <f t="shared" si="12"/>
        <v>376.2229437229438</v>
      </c>
      <c r="BS48" s="255">
        <f t="shared" si="22"/>
        <v>79</v>
      </c>
      <c r="BU48" s="252">
        <v>3</v>
      </c>
      <c r="BW48" s="9">
        <v>22</v>
      </c>
      <c r="BX48" s="9">
        <v>29</v>
      </c>
      <c r="BY48" s="9">
        <v>22</v>
      </c>
      <c r="BZ48" s="9">
        <v>29</v>
      </c>
      <c r="CA48" s="9">
        <v>27</v>
      </c>
      <c r="CB48" s="9">
        <v>38</v>
      </c>
      <c r="CC48" s="9">
        <v>35</v>
      </c>
      <c r="CD48" s="9">
        <v>34</v>
      </c>
      <c r="CE48" s="9">
        <v>32</v>
      </c>
      <c r="CF48" s="9">
        <v>29</v>
      </c>
      <c r="CG48" s="9">
        <v>37</v>
      </c>
      <c r="CH48" s="9">
        <v>30</v>
      </c>
      <c r="CI48" s="9">
        <v>30</v>
      </c>
      <c r="CJ48" s="9">
        <v>26</v>
      </c>
      <c r="CK48" s="23">
        <f t="shared" si="13"/>
        <v>383.5</v>
      </c>
      <c r="CL48">
        <f t="shared" si="14"/>
        <v>92.5</v>
      </c>
      <c r="CM48">
        <f t="shared" si="15"/>
        <v>123</v>
      </c>
      <c r="CN48" s="23">
        <f t="shared" si="16"/>
        <v>199.5</v>
      </c>
      <c r="CO48">
        <f t="shared" si="20"/>
        <v>184</v>
      </c>
      <c r="CQ48" s="23">
        <f t="shared" si="18"/>
        <v>214</v>
      </c>
      <c r="CR48" s="23">
        <f t="shared" si="19"/>
        <v>184</v>
      </c>
    </row>
    <row r="49" spans="1:96" ht="29.25">
      <c r="A49" t="str">
        <f t="shared" si="0"/>
        <v>193</v>
      </c>
      <c r="B49">
        <f t="shared" si="3"/>
        <v>193</v>
      </c>
      <c r="C49" s="14" t="s">
        <v>56</v>
      </c>
      <c r="D49" s="11"/>
      <c r="E49" s="9">
        <f>SUM(279.466250708541*0.5)</f>
        <v>139.7331253542705</v>
      </c>
      <c r="F49" s="9">
        <v>321.03705014982899</v>
      </c>
      <c r="G49" s="9">
        <v>292.20616703781297</v>
      </c>
      <c r="H49" s="9">
        <v>318.28750170188601</v>
      </c>
      <c r="I49" s="9">
        <v>305.52637781185399</v>
      </c>
      <c r="J49" s="9">
        <v>283.96802325581399</v>
      </c>
      <c r="K49" s="9">
        <v>262.42441860465101</v>
      </c>
      <c r="L49" s="9">
        <v>299.38081395348797</v>
      </c>
      <c r="M49" s="9">
        <v>270.08430232558101</v>
      </c>
      <c r="N49" s="9">
        <v>243.73976608187101</v>
      </c>
      <c r="O49" s="9">
        <v>228.47368421052599</v>
      </c>
      <c r="P49" s="9">
        <v>209.07558139534899</v>
      </c>
      <c r="Q49" s="9">
        <v>190.78197674418601</v>
      </c>
      <c r="R49" s="9">
        <v>0</v>
      </c>
      <c r="S49" s="9">
        <v>4.2755286227544902</v>
      </c>
      <c r="T49" s="9">
        <v>4.8708686503915297</v>
      </c>
      <c r="U49" s="9">
        <v>11.153439746715501</v>
      </c>
      <c r="V49" s="9">
        <v>10.986138682634699</v>
      </c>
      <c r="W49" s="9">
        <v>17.748754491018001</v>
      </c>
      <c r="X49" s="9">
        <v>32.954354491018002</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0.67058823529411804</v>
      </c>
      <c r="AS49" s="9">
        <v>1.1647058823529399</v>
      </c>
      <c r="AT49" s="9">
        <v>3.7411764705882402</v>
      </c>
      <c r="AU49" s="9">
        <v>7.9294117647058799</v>
      </c>
      <c r="AV49" s="9">
        <v>5.9529411764705902</v>
      </c>
      <c r="AW49" s="9">
        <v>0</v>
      </c>
      <c r="AX49" s="9">
        <f t="shared" si="4"/>
        <v>3639.475031683115</v>
      </c>
      <c r="AY49" s="9">
        <f t="shared" si="5"/>
        <v>1124.8270364559885</v>
      </c>
      <c r="AZ49" s="9">
        <f t="shared" si="6"/>
        <v>1010.6640865178371</v>
      </c>
      <c r="BA49" s="9">
        <f t="shared" si="7"/>
        <v>2019.3417971119234</v>
      </c>
      <c r="BB49" s="9">
        <f t="shared" si="8"/>
        <v>1620.1332345711924</v>
      </c>
      <c r="BC49" s="19"/>
      <c r="BD49" s="9">
        <v>1919</v>
      </c>
      <c r="BF49" s="252">
        <v>1740</v>
      </c>
      <c r="BH49" s="252">
        <v>447</v>
      </c>
      <c r="BI49" s="252">
        <f t="shared" si="9"/>
        <v>447</v>
      </c>
      <c r="BJ49" s="252">
        <f t="shared" ref="BJ49:BJ112" si="23">IFERROR(IF(BH49&gt;0,SUM(E49:Q49),""),"")</f>
        <v>3364.7187886271186</v>
      </c>
      <c r="BK49" s="256">
        <f t="shared" si="21"/>
        <v>447</v>
      </c>
      <c r="BP49" s="252">
        <v>280</v>
      </c>
      <c r="BQ49" s="252">
        <f t="shared" si="11"/>
        <v>280</v>
      </c>
      <c r="BR49" s="256">
        <f t="shared" si="12"/>
        <v>3364.7187886271186</v>
      </c>
      <c r="BS49" s="255">
        <f t="shared" si="22"/>
        <v>280</v>
      </c>
      <c r="BU49" s="252">
        <v>42</v>
      </c>
      <c r="BW49" s="9">
        <v>37</v>
      </c>
      <c r="BX49" s="9">
        <v>281</v>
      </c>
      <c r="BY49" s="9">
        <v>317</v>
      </c>
      <c r="BZ49" s="9">
        <v>327</v>
      </c>
      <c r="CA49" s="9">
        <v>310</v>
      </c>
      <c r="CB49" s="9">
        <v>333</v>
      </c>
      <c r="CC49" s="9">
        <v>323</v>
      </c>
      <c r="CD49" s="9">
        <v>297</v>
      </c>
      <c r="CE49" s="9">
        <v>281</v>
      </c>
      <c r="CF49" s="9">
        <v>342</v>
      </c>
      <c r="CG49" s="9">
        <v>289</v>
      </c>
      <c r="CH49" s="9">
        <v>274</v>
      </c>
      <c r="CI49" s="9">
        <v>265</v>
      </c>
      <c r="CJ49" s="9">
        <v>239</v>
      </c>
      <c r="CK49" s="23">
        <f t="shared" si="13"/>
        <v>3742.3647058823531</v>
      </c>
      <c r="CL49">
        <f t="shared" si="14"/>
        <v>1094.5</v>
      </c>
      <c r="CM49">
        <f t="shared" si="15"/>
        <v>1071.4058823529413</v>
      </c>
      <c r="CN49" s="23">
        <f t="shared" si="16"/>
        <v>2047.5</v>
      </c>
      <c r="CO49">
        <f t="shared" si="20"/>
        <v>1694.8647058823528</v>
      </c>
      <c r="CQ49" s="23">
        <f t="shared" si="18"/>
        <v>2188</v>
      </c>
      <c r="CR49" s="23">
        <f t="shared" si="19"/>
        <v>1694.8647058823528</v>
      </c>
    </row>
    <row r="50" spans="1:96" ht="29.25">
      <c r="A50" t="str">
        <f t="shared" si="0"/>
        <v>201</v>
      </c>
      <c r="B50">
        <f t="shared" si="3"/>
        <v>201</v>
      </c>
      <c r="C50" s="14" t="s">
        <v>57</v>
      </c>
      <c r="D50" s="11"/>
      <c r="E50" s="9">
        <f>SUM(140.308566147882*0.5)</f>
        <v>70.154283073941002</v>
      </c>
      <c r="F50" s="9">
        <v>165.07067137809199</v>
      </c>
      <c r="G50" s="9">
        <v>155.32508833922299</v>
      </c>
      <c r="H50" s="9">
        <v>156.64412811387899</v>
      </c>
      <c r="I50" s="9">
        <v>184.27758007117399</v>
      </c>
      <c r="J50" s="9">
        <v>162.88256227758001</v>
      </c>
      <c r="K50" s="9">
        <v>196.753472222222</v>
      </c>
      <c r="L50" s="9">
        <v>178.701388888889</v>
      </c>
      <c r="M50" s="9">
        <v>191.34375</v>
      </c>
      <c r="N50" s="9">
        <v>182.19723183391</v>
      </c>
      <c r="O50" s="9">
        <v>159.128027681661</v>
      </c>
      <c r="P50" s="9">
        <v>143.77854671280301</v>
      </c>
      <c r="Q50" s="9">
        <v>132.85467128027699</v>
      </c>
      <c r="R50" s="9">
        <v>0</v>
      </c>
      <c r="S50" s="9">
        <v>0</v>
      </c>
      <c r="T50" s="9">
        <v>0</v>
      </c>
      <c r="U50" s="9">
        <v>1.0014457831325301</v>
      </c>
      <c r="V50" s="9">
        <v>4.5079720279720297</v>
      </c>
      <c r="W50" s="9">
        <v>8.5700699300699306</v>
      </c>
      <c r="X50" s="9">
        <v>35.806993006992997</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3.9803921568627501</v>
      </c>
      <c r="AR50" s="9">
        <v>4</v>
      </c>
      <c r="AS50" s="9">
        <v>1.1764705882352899</v>
      </c>
      <c r="AT50" s="9">
        <v>4.3333333333333304</v>
      </c>
      <c r="AU50" s="9">
        <v>5.8627450980392197</v>
      </c>
      <c r="AV50" s="9">
        <v>11.292156862745101</v>
      </c>
      <c r="AW50" s="9">
        <v>5.8117647058823501</v>
      </c>
      <c r="AX50" s="9">
        <f t="shared" si="4"/>
        <v>2273.7274826352627</v>
      </c>
      <c r="AY50" s="9">
        <f t="shared" si="5"/>
        <v>574.55387945039183</v>
      </c>
      <c r="AZ50" s="9">
        <f t="shared" si="6"/>
        <v>729.90220616965939</v>
      </c>
      <c r="BA50" s="9">
        <f t="shared" si="7"/>
        <v>1149.8425865146226</v>
      </c>
      <c r="BB50" s="9">
        <f t="shared" si="8"/>
        <v>1123.88489612064</v>
      </c>
      <c r="BC50" s="19"/>
      <c r="BD50" s="9">
        <v>1009</v>
      </c>
      <c r="BF50" s="252">
        <v>935</v>
      </c>
      <c r="BH50" s="252">
        <v>263</v>
      </c>
      <c r="BI50" s="252">
        <f t="shared" si="9"/>
        <v>263</v>
      </c>
      <c r="BJ50" s="252">
        <f t="shared" si="23"/>
        <v>2079.1114018736512</v>
      </c>
      <c r="BK50" s="256">
        <f t="shared" si="21"/>
        <v>263</v>
      </c>
      <c r="BP50" s="252">
        <v>90</v>
      </c>
      <c r="BQ50" s="252">
        <f t="shared" si="11"/>
        <v>90</v>
      </c>
      <c r="BR50" s="256">
        <f t="shared" si="12"/>
        <v>2079.1114018736512</v>
      </c>
      <c r="BS50" s="255">
        <f t="shared" si="22"/>
        <v>90</v>
      </c>
      <c r="BU50" s="252">
        <v>183</v>
      </c>
      <c r="BW50" s="9">
        <v>10</v>
      </c>
      <c r="BX50" s="9">
        <v>158</v>
      </c>
      <c r="BY50" s="9">
        <v>154</v>
      </c>
      <c r="BZ50" s="9">
        <v>170</v>
      </c>
      <c r="CA50" s="9">
        <v>160</v>
      </c>
      <c r="CB50" s="9">
        <v>182</v>
      </c>
      <c r="CC50" s="9">
        <v>189</v>
      </c>
      <c r="CD50" s="9">
        <v>170</v>
      </c>
      <c r="CE50" s="9">
        <v>206</v>
      </c>
      <c r="CF50" s="9">
        <v>202</v>
      </c>
      <c r="CG50" s="9">
        <v>211</v>
      </c>
      <c r="CH50" s="9">
        <v>172</v>
      </c>
      <c r="CI50" s="9">
        <v>181</v>
      </c>
      <c r="CJ50" s="9">
        <v>170</v>
      </c>
      <c r="CK50" s="23">
        <f t="shared" si="13"/>
        <v>2255.1142156862743</v>
      </c>
      <c r="CL50">
        <f t="shared" si="14"/>
        <v>563</v>
      </c>
      <c r="CM50">
        <f t="shared" si="15"/>
        <v>740.82500000000005</v>
      </c>
      <c r="CN50" s="23">
        <f t="shared" si="16"/>
        <v>1104.9950980392157</v>
      </c>
      <c r="CO50">
        <f t="shared" si="20"/>
        <v>1150.1191176470588</v>
      </c>
      <c r="CQ50" s="23">
        <f t="shared" si="18"/>
        <v>1183.9950980392157</v>
      </c>
      <c r="CR50" s="23">
        <f t="shared" si="19"/>
        <v>1150.1191176470588</v>
      </c>
    </row>
    <row r="51" spans="1:96" ht="29.25">
      <c r="A51" t="str">
        <f t="shared" si="0"/>
        <v>202</v>
      </c>
      <c r="B51">
        <f t="shared" si="3"/>
        <v>202</v>
      </c>
      <c r="C51" s="14" t="s">
        <v>58</v>
      </c>
      <c r="D51" s="11"/>
      <c r="E51" s="9">
        <f>SUM(54.2429378531073*0.5)</f>
        <v>27.12146892655365</v>
      </c>
      <c r="F51" s="9">
        <v>49.545197740112997</v>
      </c>
      <c r="G51" s="9">
        <v>54.169491525423702</v>
      </c>
      <c r="H51" s="9">
        <v>54.892655367231598</v>
      </c>
      <c r="I51" s="9">
        <v>63.203389830508499</v>
      </c>
      <c r="J51" s="9">
        <v>47.144067796610202</v>
      </c>
      <c r="K51" s="9">
        <v>63.440677966101703</v>
      </c>
      <c r="L51" s="9">
        <v>61.590395480226</v>
      </c>
      <c r="M51" s="9">
        <v>60.494350282485897</v>
      </c>
      <c r="N51" s="9">
        <v>58.327683615819197</v>
      </c>
      <c r="O51" s="9">
        <v>28.463276836158201</v>
      </c>
      <c r="P51" s="9">
        <v>32.262711864406803</v>
      </c>
      <c r="Q51" s="9">
        <v>32.844632768361599</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f t="shared" si="4"/>
        <v>665.17500000000018</v>
      </c>
      <c r="AY51" s="9">
        <f t="shared" si="5"/>
        <v>195.01525423728808</v>
      </c>
      <c r="AZ51" s="9">
        <f t="shared" si="6"/>
        <v>159.49322033898309</v>
      </c>
      <c r="BA51" s="9">
        <f t="shared" si="7"/>
        <v>377.49279661016953</v>
      </c>
      <c r="BB51" s="9">
        <f t="shared" si="8"/>
        <v>287.68220338983059</v>
      </c>
      <c r="BC51" s="19"/>
      <c r="BD51" s="9">
        <v>359</v>
      </c>
      <c r="BF51" s="252">
        <v>351</v>
      </c>
      <c r="BH51" s="252">
        <v>45</v>
      </c>
      <c r="BI51" s="252">
        <f t="shared" si="9"/>
        <v>45</v>
      </c>
      <c r="BJ51" s="252">
        <f t="shared" si="23"/>
        <v>633.50000000000011</v>
      </c>
      <c r="BK51" s="256">
        <f t="shared" si="21"/>
        <v>45</v>
      </c>
      <c r="BP51" s="252" t="s">
        <v>239</v>
      </c>
      <c r="BQ51" s="252" t="str">
        <f t="shared" si="11"/>
        <v/>
      </c>
      <c r="BR51" s="256" t="str">
        <f t="shared" si="12"/>
        <v/>
      </c>
      <c r="BS51" s="255">
        <f t="shared" si="22"/>
        <v>56.898377678286963</v>
      </c>
      <c r="BU51" s="252">
        <v>78</v>
      </c>
      <c r="BW51" s="9">
        <v>5</v>
      </c>
      <c r="BX51" s="9">
        <v>58</v>
      </c>
      <c r="BY51" s="9">
        <v>61</v>
      </c>
      <c r="BZ51" s="9">
        <v>61</v>
      </c>
      <c r="CA51" s="9">
        <v>61</v>
      </c>
      <c r="CB51" s="9">
        <v>60</v>
      </c>
      <c r="CC51" s="9">
        <v>74</v>
      </c>
      <c r="CD51" s="9">
        <v>54</v>
      </c>
      <c r="CE51" s="9">
        <v>73</v>
      </c>
      <c r="CF51" s="9">
        <v>67</v>
      </c>
      <c r="CG51" s="9">
        <v>66</v>
      </c>
      <c r="CH51" s="9">
        <v>44</v>
      </c>
      <c r="CI51" s="9">
        <v>33</v>
      </c>
      <c r="CJ51" s="9">
        <v>38</v>
      </c>
      <c r="CK51" s="23">
        <f t="shared" si="13"/>
        <v>721</v>
      </c>
      <c r="CL51">
        <f t="shared" si="14"/>
        <v>212</v>
      </c>
      <c r="CM51">
        <f t="shared" si="15"/>
        <v>181</v>
      </c>
      <c r="CN51" s="23">
        <f t="shared" si="16"/>
        <v>400</v>
      </c>
      <c r="CO51">
        <f t="shared" si="20"/>
        <v>321</v>
      </c>
      <c r="CQ51" s="23">
        <f t="shared" si="18"/>
        <v>429</v>
      </c>
      <c r="CR51" s="23">
        <f t="shared" si="19"/>
        <v>321</v>
      </c>
    </row>
    <row r="52" spans="1:96" ht="29.25">
      <c r="A52" t="str">
        <f t="shared" si="0"/>
        <v>215</v>
      </c>
      <c r="B52">
        <f t="shared" si="3"/>
        <v>215</v>
      </c>
      <c r="C52" s="14" t="s">
        <v>59</v>
      </c>
      <c r="D52" s="11"/>
      <c r="E52" s="9">
        <f>SUM(157.514183231093*0.5)</f>
        <v>78.7570916155465</v>
      </c>
      <c r="F52" s="9">
        <v>138.19623742037601</v>
      </c>
      <c r="G52" s="9">
        <v>150.34730200250999</v>
      </c>
      <c r="H52" s="9">
        <v>141.74422714420399</v>
      </c>
      <c r="I52" s="9">
        <v>175.05972029570799</v>
      </c>
      <c r="J52" s="9">
        <v>184.21049530178101</v>
      </c>
      <c r="K52" s="9">
        <v>155.80431798180601</v>
      </c>
      <c r="L52" s="9">
        <v>168.89057027158299</v>
      </c>
      <c r="M52" s="9">
        <v>169.15686386561899</v>
      </c>
      <c r="N52" s="9">
        <v>149.31137137164299</v>
      </c>
      <c r="O52" s="9">
        <v>146.97171605605499</v>
      </c>
      <c r="P52" s="9">
        <v>163.106971143225</v>
      </c>
      <c r="Q52" s="9">
        <v>108.833243308992</v>
      </c>
      <c r="R52" s="9">
        <v>0</v>
      </c>
      <c r="S52" s="9">
        <v>0</v>
      </c>
      <c r="T52" s="9">
        <v>0</v>
      </c>
      <c r="U52" s="9">
        <v>0</v>
      </c>
      <c r="V52" s="9">
        <v>0</v>
      </c>
      <c r="W52" s="9">
        <v>0</v>
      </c>
      <c r="X52" s="9">
        <v>0</v>
      </c>
      <c r="Y52" s="9">
        <v>0</v>
      </c>
      <c r="Z52" s="9">
        <v>0</v>
      </c>
      <c r="AA52" s="9">
        <v>0.2</v>
      </c>
      <c r="AB52" s="9">
        <v>0.434782608695652</v>
      </c>
      <c r="AC52" s="9">
        <v>1.01621621621622</v>
      </c>
      <c r="AD52" s="9">
        <v>3.3589743589743599</v>
      </c>
      <c r="AE52" s="9">
        <v>0.97142857142857097</v>
      </c>
      <c r="AF52" s="9">
        <v>3.6717948717948699</v>
      </c>
      <c r="AG52" s="9">
        <v>3.02051282051282</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f t="shared" si="4"/>
        <v>2040.2170290880047</v>
      </c>
      <c r="AY52" s="9">
        <f t="shared" si="5"/>
        <v>534.49710109176829</v>
      </c>
      <c r="AZ52" s="9">
        <f t="shared" si="6"/>
        <v>608.20831312775692</v>
      </c>
      <c r="BA52" s="9">
        <f t="shared" si="7"/>
        <v>1075.5353613500281</v>
      </c>
      <c r="BB52" s="9">
        <f t="shared" si="8"/>
        <v>964.68166773797645</v>
      </c>
      <c r="BC52" s="19"/>
      <c r="BD52" s="9">
        <v>1050</v>
      </c>
      <c r="BF52" s="252">
        <v>1038</v>
      </c>
      <c r="BH52" s="252">
        <v>212</v>
      </c>
      <c r="BI52" s="252">
        <f t="shared" si="9"/>
        <v>212</v>
      </c>
      <c r="BJ52" s="252">
        <f t="shared" si="23"/>
        <v>1930.3901277790485</v>
      </c>
      <c r="BK52" s="256">
        <f t="shared" si="21"/>
        <v>212</v>
      </c>
      <c r="BP52" s="252">
        <v>263</v>
      </c>
      <c r="BQ52" s="252">
        <f t="shared" si="11"/>
        <v>263</v>
      </c>
      <c r="BR52" s="256">
        <f t="shared" si="12"/>
        <v>1930.3901277790485</v>
      </c>
      <c r="BS52" s="255">
        <f t="shared" si="22"/>
        <v>263</v>
      </c>
      <c r="BU52" s="252">
        <v>80</v>
      </c>
      <c r="BW52" s="9">
        <v>43</v>
      </c>
      <c r="BX52" s="9">
        <v>146</v>
      </c>
      <c r="BY52" s="9">
        <v>171</v>
      </c>
      <c r="BZ52" s="9">
        <v>151</v>
      </c>
      <c r="CA52" s="9">
        <v>158</v>
      </c>
      <c r="CB52" s="9">
        <v>154</v>
      </c>
      <c r="CC52" s="9">
        <v>192</v>
      </c>
      <c r="CD52" s="9">
        <v>188</v>
      </c>
      <c r="CE52" s="9">
        <v>169</v>
      </c>
      <c r="CF52" s="9">
        <v>182</v>
      </c>
      <c r="CG52" s="9">
        <v>184</v>
      </c>
      <c r="CH52" s="9">
        <v>164</v>
      </c>
      <c r="CI52" s="9">
        <v>150</v>
      </c>
      <c r="CJ52" s="9">
        <v>169</v>
      </c>
      <c r="CK52" s="23">
        <f t="shared" si="13"/>
        <v>2105</v>
      </c>
      <c r="CL52">
        <f t="shared" si="14"/>
        <v>553</v>
      </c>
      <c r="CM52">
        <f t="shared" si="15"/>
        <v>667</v>
      </c>
      <c r="CN52" s="23">
        <f t="shared" si="16"/>
        <v>1087</v>
      </c>
      <c r="CO52">
        <f t="shared" si="20"/>
        <v>1018</v>
      </c>
      <c r="CQ52" s="23">
        <f t="shared" si="18"/>
        <v>1160</v>
      </c>
      <c r="CR52" s="23">
        <f t="shared" si="19"/>
        <v>1018</v>
      </c>
    </row>
    <row r="53" spans="1:96" ht="29.25">
      <c r="A53" t="str">
        <f t="shared" si="0"/>
        <v>221</v>
      </c>
      <c r="B53">
        <f t="shared" si="3"/>
        <v>221</v>
      </c>
      <c r="C53" s="14" t="s">
        <v>60</v>
      </c>
      <c r="D53" s="11"/>
      <c r="E53" s="9">
        <f>SUM(191.051065586606*0.5)</f>
        <v>95.525532793303</v>
      </c>
      <c r="F53" s="9">
        <v>180.54589856593</v>
      </c>
      <c r="G53" s="9">
        <v>178.78331104144399</v>
      </c>
      <c r="H53" s="9">
        <v>178.53773418023101</v>
      </c>
      <c r="I53" s="9">
        <v>185.53203280215499</v>
      </c>
      <c r="J53" s="9">
        <v>205.174690768451</v>
      </c>
      <c r="K53" s="9">
        <v>187.96764705882401</v>
      </c>
      <c r="L53" s="9">
        <v>195.10194209472701</v>
      </c>
      <c r="M53" s="9">
        <v>174.18604651162801</v>
      </c>
      <c r="N53" s="9">
        <v>156.51453488372101</v>
      </c>
      <c r="O53" s="9">
        <v>130.54941860465101</v>
      </c>
      <c r="P53" s="9">
        <v>121.96511627907</v>
      </c>
      <c r="Q53" s="9">
        <v>114.877906976744</v>
      </c>
      <c r="R53" s="9">
        <v>3.9981635027470301</v>
      </c>
      <c r="S53" s="9">
        <v>3.5812311627906999</v>
      </c>
      <c r="T53" s="9">
        <v>3.1335541860465099</v>
      </c>
      <c r="U53" s="9">
        <v>18.725371767699301</v>
      </c>
      <c r="V53" s="9">
        <v>19.0572247912548</v>
      </c>
      <c r="W53" s="9">
        <v>18.257686636352801</v>
      </c>
      <c r="X53" s="9">
        <v>21.766525003580099</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1.4107843137254901</v>
      </c>
      <c r="AS53" s="9">
        <v>3.59901960784314</v>
      </c>
      <c r="AT53" s="9">
        <v>6.3480392156862697</v>
      </c>
      <c r="AU53" s="9">
        <v>9.7833333333333297</v>
      </c>
      <c r="AV53" s="9">
        <v>7.1431372549019603</v>
      </c>
      <c r="AW53" s="9">
        <v>9.8862745098039202</v>
      </c>
      <c r="AX53" s="9">
        <f t="shared" si="4"/>
        <v>2343.5497657389765</v>
      </c>
      <c r="AY53" s="9">
        <f t="shared" si="5"/>
        <v>665.06210040995347</v>
      </c>
      <c r="AZ53" s="9">
        <f t="shared" si="6"/>
        <v>666.61829771963858</v>
      </c>
      <c r="BA53" s="9">
        <f t="shared" si="7"/>
        <v>1276.8682612487394</v>
      </c>
      <c r="BB53" s="9">
        <f t="shared" si="8"/>
        <v>1066.6815044902376</v>
      </c>
      <c r="BC53" s="19"/>
      <c r="BD53" s="9">
        <v>1327</v>
      </c>
      <c r="BF53" s="252">
        <v>1462</v>
      </c>
      <c r="BH53" s="252">
        <v>318</v>
      </c>
      <c r="BI53" s="252">
        <f t="shared" si="9"/>
        <v>318</v>
      </c>
      <c r="BJ53" s="252">
        <f t="shared" si="23"/>
        <v>2105.2618125608788</v>
      </c>
      <c r="BK53" s="256">
        <f t="shared" si="21"/>
        <v>318</v>
      </c>
      <c r="BP53" s="252">
        <v>117</v>
      </c>
      <c r="BQ53" s="252">
        <f t="shared" si="11"/>
        <v>117</v>
      </c>
      <c r="BR53" s="256">
        <f t="shared" si="12"/>
        <v>2105.2618125608788</v>
      </c>
      <c r="BS53" s="255">
        <f t="shared" si="22"/>
        <v>117</v>
      </c>
      <c r="BU53" s="252">
        <v>26</v>
      </c>
      <c r="BW53" s="9">
        <v>24</v>
      </c>
      <c r="BX53" s="9">
        <v>209</v>
      </c>
      <c r="BY53" s="9">
        <v>213</v>
      </c>
      <c r="BZ53" s="9">
        <v>204</v>
      </c>
      <c r="CA53" s="9">
        <v>196</v>
      </c>
      <c r="CB53" s="9">
        <v>191</v>
      </c>
      <c r="CC53" s="9">
        <v>204</v>
      </c>
      <c r="CD53" s="9">
        <v>202</v>
      </c>
      <c r="CE53" s="9">
        <v>211</v>
      </c>
      <c r="CF53" s="9">
        <v>206</v>
      </c>
      <c r="CG53" s="9">
        <v>151</v>
      </c>
      <c r="CH53" s="9">
        <v>172</v>
      </c>
      <c r="CI53" s="9">
        <v>143</v>
      </c>
      <c r="CJ53" s="9">
        <v>126</v>
      </c>
      <c r="CK53" s="23">
        <f t="shared" si="13"/>
        <v>2333.0426470588236</v>
      </c>
      <c r="CL53">
        <f t="shared" si="14"/>
        <v>717.5</v>
      </c>
      <c r="CM53">
        <f t="shared" si="15"/>
        <v>600.29019607843134</v>
      </c>
      <c r="CN53" s="23">
        <f t="shared" si="16"/>
        <v>1314.5</v>
      </c>
      <c r="CO53">
        <f t="shared" si="20"/>
        <v>1018.5426470588235</v>
      </c>
      <c r="CQ53" s="23">
        <f t="shared" si="18"/>
        <v>1419</v>
      </c>
      <c r="CR53" s="23">
        <f t="shared" si="19"/>
        <v>1018.5426470588235</v>
      </c>
    </row>
    <row r="54" spans="1:96" ht="29.25">
      <c r="A54" t="str">
        <f t="shared" si="0"/>
        <v>231</v>
      </c>
      <c r="B54">
        <f t="shared" si="3"/>
        <v>231</v>
      </c>
      <c r="C54" s="14" t="s">
        <v>61</v>
      </c>
      <c r="D54" s="11"/>
      <c r="E54" s="9">
        <f>SUM(89.2222222222222*0.5)</f>
        <v>44.6111111111111</v>
      </c>
      <c r="F54" s="9">
        <v>91.7777777777778</v>
      </c>
      <c r="G54" s="9">
        <v>101.850694444444</v>
      </c>
      <c r="H54" s="9">
        <v>105.402777777778</v>
      </c>
      <c r="I54" s="9">
        <v>100.302083333333</v>
      </c>
      <c r="J54" s="9">
        <v>94.5625</v>
      </c>
      <c r="K54" s="9">
        <v>110.909722222222</v>
      </c>
      <c r="L54" s="9">
        <v>98.1597222222222</v>
      </c>
      <c r="M54" s="9">
        <v>103.277777777778</v>
      </c>
      <c r="N54" s="9">
        <v>97.513422818791994</v>
      </c>
      <c r="O54" s="9">
        <v>85.023489932885894</v>
      </c>
      <c r="P54" s="9">
        <v>86.842281879194601</v>
      </c>
      <c r="Q54" s="9">
        <v>80.130872483221495</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0</v>
      </c>
      <c r="AS54" s="9">
        <v>0</v>
      </c>
      <c r="AT54" s="9">
        <v>0</v>
      </c>
      <c r="AU54" s="9">
        <v>0</v>
      </c>
      <c r="AV54" s="9">
        <v>0</v>
      </c>
      <c r="AW54" s="9">
        <v>0</v>
      </c>
      <c r="AX54" s="9">
        <f t="shared" si="4"/>
        <v>1260.3824454697981</v>
      </c>
      <c r="AY54" s="9">
        <f t="shared" si="5"/>
        <v>360.82447916666649</v>
      </c>
      <c r="AZ54" s="9">
        <f t="shared" si="6"/>
        <v>366.98557046979869</v>
      </c>
      <c r="BA54" s="9">
        <f t="shared" si="7"/>
        <v>681.88749999999914</v>
      </c>
      <c r="BB54" s="9">
        <f t="shared" si="8"/>
        <v>578.49494546979895</v>
      </c>
      <c r="BC54" s="19"/>
      <c r="BD54" s="9">
        <v>704.8</v>
      </c>
      <c r="BF54" s="257">
        <v>580.89</v>
      </c>
      <c r="BH54" s="252">
        <v>152</v>
      </c>
      <c r="BI54" s="252">
        <f t="shared" si="9"/>
        <v>152</v>
      </c>
      <c r="BJ54" s="252">
        <f t="shared" si="23"/>
        <v>1200.3642337807601</v>
      </c>
      <c r="BK54" s="256">
        <f t="shared" si="21"/>
        <v>152</v>
      </c>
      <c r="BP54" s="252">
        <v>196</v>
      </c>
      <c r="BQ54" s="252">
        <f t="shared" si="11"/>
        <v>196</v>
      </c>
      <c r="BR54" s="256">
        <f t="shared" si="12"/>
        <v>1200.3642337807601</v>
      </c>
      <c r="BS54" s="255">
        <f t="shared" si="22"/>
        <v>196</v>
      </c>
      <c r="BU54" s="252">
        <v>72</v>
      </c>
      <c r="BW54" s="9">
        <v>16</v>
      </c>
      <c r="BX54" s="9">
        <v>89</v>
      </c>
      <c r="BY54" s="9">
        <v>107</v>
      </c>
      <c r="BZ54" s="9">
        <v>95</v>
      </c>
      <c r="CA54" s="9">
        <v>113</v>
      </c>
      <c r="CB54" s="9">
        <v>109</v>
      </c>
      <c r="CC54" s="9">
        <v>102</v>
      </c>
      <c r="CD54" s="9">
        <v>112</v>
      </c>
      <c r="CE54" s="9">
        <v>120</v>
      </c>
      <c r="CF54" s="9">
        <v>104</v>
      </c>
      <c r="CG54" s="9">
        <v>125</v>
      </c>
      <c r="CH54" s="9">
        <v>105</v>
      </c>
      <c r="CI54" s="9">
        <v>89</v>
      </c>
      <c r="CJ54" s="9">
        <v>81</v>
      </c>
      <c r="CK54" s="23">
        <f t="shared" si="13"/>
        <v>1306.5</v>
      </c>
      <c r="CL54">
        <f t="shared" si="14"/>
        <v>359.5</v>
      </c>
      <c r="CM54">
        <f t="shared" si="15"/>
        <v>400</v>
      </c>
      <c r="CN54" s="23">
        <f t="shared" si="16"/>
        <v>682.5</v>
      </c>
      <c r="CO54">
        <f t="shared" si="20"/>
        <v>624</v>
      </c>
      <c r="CQ54" s="23">
        <f t="shared" si="18"/>
        <v>727</v>
      </c>
      <c r="CR54" s="23">
        <f t="shared" si="19"/>
        <v>624</v>
      </c>
    </row>
    <row r="55" spans="1:96" ht="29.25">
      <c r="A55" t="str">
        <f t="shared" si="0"/>
        <v>232</v>
      </c>
      <c r="B55">
        <f t="shared" si="3"/>
        <v>232</v>
      </c>
      <c r="C55" s="14" t="s">
        <v>62</v>
      </c>
      <c r="D55" s="11"/>
      <c r="E55" s="9">
        <f>SUM(70.7777777777778*0.5)</f>
        <v>35.3888888888889</v>
      </c>
      <c r="F55" s="9">
        <v>82.7013888888889</v>
      </c>
      <c r="G55" s="9">
        <v>81.9131944444444</v>
      </c>
      <c r="H55" s="9">
        <v>100.447916666667</v>
      </c>
      <c r="I55" s="9">
        <v>93.40625</v>
      </c>
      <c r="J55" s="9">
        <v>66.0798611111111</v>
      </c>
      <c r="K55" s="9">
        <v>98.0625</v>
      </c>
      <c r="L55" s="9">
        <v>93.9305555555556</v>
      </c>
      <c r="M55" s="9">
        <v>70.9375</v>
      </c>
      <c r="N55" s="9">
        <v>75.627177700348398</v>
      </c>
      <c r="O55" s="9">
        <v>65.763066202090599</v>
      </c>
      <c r="P55" s="9">
        <v>67.881533101045306</v>
      </c>
      <c r="Q55" s="9">
        <v>60.1289198606272</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9">
        <v>0</v>
      </c>
      <c r="AS55" s="9">
        <v>0</v>
      </c>
      <c r="AT55" s="9">
        <v>0</v>
      </c>
      <c r="AU55" s="9">
        <v>0</v>
      </c>
      <c r="AV55" s="9">
        <v>0</v>
      </c>
      <c r="AW55" s="9">
        <v>0</v>
      </c>
      <c r="AX55" s="9">
        <f t="shared" si="4"/>
        <v>1041.8821900406508</v>
      </c>
      <c r="AY55" s="9">
        <f t="shared" si="5"/>
        <v>315.47395833333366</v>
      </c>
      <c r="AZ55" s="9">
        <f t="shared" si="6"/>
        <v>282.87073170731713</v>
      </c>
      <c r="BA55" s="9">
        <f t="shared" si="7"/>
        <v>585.90000000000032</v>
      </c>
      <c r="BB55" s="9">
        <f t="shared" si="8"/>
        <v>455.98219004065049</v>
      </c>
      <c r="BC55" s="19"/>
      <c r="BD55" s="9">
        <v>681.6</v>
      </c>
      <c r="BF55" s="252">
        <v>761</v>
      </c>
      <c r="BH55" s="252">
        <v>129</v>
      </c>
      <c r="BI55" s="252">
        <f t="shared" si="9"/>
        <v>129</v>
      </c>
      <c r="BJ55" s="252">
        <f t="shared" si="23"/>
        <v>992.26875241966741</v>
      </c>
      <c r="BK55" s="256">
        <f t="shared" si="21"/>
        <v>129</v>
      </c>
      <c r="BP55" s="252">
        <v>401</v>
      </c>
      <c r="BQ55" s="252">
        <f t="shared" si="11"/>
        <v>401</v>
      </c>
      <c r="BR55" s="256">
        <f t="shared" si="12"/>
        <v>992.26875241966741</v>
      </c>
      <c r="BS55" s="255">
        <f t="shared" si="22"/>
        <v>401</v>
      </c>
      <c r="BU55" s="252">
        <v>41</v>
      </c>
      <c r="BW55" s="9">
        <v>25</v>
      </c>
      <c r="BX55" s="9">
        <v>84</v>
      </c>
      <c r="BY55" s="9">
        <v>74</v>
      </c>
      <c r="BZ55" s="9">
        <v>83</v>
      </c>
      <c r="CA55" s="9">
        <v>91</v>
      </c>
      <c r="CB55" s="9">
        <v>103</v>
      </c>
      <c r="CC55" s="9">
        <v>91</v>
      </c>
      <c r="CD55" s="9">
        <v>67</v>
      </c>
      <c r="CE55" s="9">
        <v>106</v>
      </c>
      <c r="CF55" s="9">
        <v>88</v>
      </c>
      <c r="CG55" s="9">
        <v>78</v>
      </c>
      <c r="CH55" s="9">
        <v>71</v>
      </c>
      <c r="CI55" s="9">
        <v>63</v>
      </c>
      <c r="CJ55" s="9">
        <v>66</v>
      </c>
      <c r="CK55" s="23">
        <f t="shared" si="13"/>
        <v>1023</v>
      </c>
      <c r="CL55">
        <f t="shared" si="14"/>
        <v>290</v>
      </c>
      <c r="CM55">
        <f t="shared" si="15"/>
        <v>278</v>
      </c>
      <c r="CN55" s="23">
        <f t="shared" si="16"/>
        <v>551</v>
      </c>
      <c r="CO55">
        <f t="shared" si="20"/>
        <v>472</v>
      </c>
      <c r="CQ55" s="23">
        <f t="shared" si="18"/>
        <v>593</v>
      </c>
      <c r="CR55" s="23">
        <f t="shared" si="19"/>
        <v>472</v>
      </c>
    </row>
    <row r="56" spans="1:96" ht="29.25">
      <c r="A56" t="str">
        <f t="shared" si="0"/>
        <v>233</v>
      </c>
      <c r="B56">
        <f t="shared" si="3"/>
        <v>233</v>
      </c>
      <c r="C56" s="14" t="s">
        <v>63</v>
      </c>
      <c r="D56" s="11"/>
      <c r="E56" s="9">
        <f>SUM(23.8732394366197*0.5)</f>
        <v>11.936619718309849</v>
      </c>
      <c r="F56" s="9">
        <v>25.660839160839199</v>
      </c>
      <c r="G56" s="9">
        <v>27.479020979021001</v>
      </c>
      <c r="H56" s="9">
        <v>20.933566433566401</v>
      </c>
      <c r="I56" s="9">
        <v>31.430069930069902</v>
      </c>
      <c r="J56" s="9">
        <v>28.758741258741299</v>
      </c>
      <c r="K56" s="9">
        <v>22.451048951049</v>
      </c>
      <c r="L56" s="9">
        <v>23.632867132867101</v>
      </c>
      <c r="M56" s="9">
        <v>21.5944055944056</v>
      </c>
      <c r="N56" s="9">
        <v>24.527972027972002</v>
      </c>
      <c r="O56" s="9">
        <v>19.356643356643399</v>
      </c>
      <c r="P56" s="9">
        <v>23.209790209790199</v>
      </c>
      <c r="Q56" s="9">
        <v>27.8006993006993</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v>
      </c>
      <c r="AR56" s="9">
        <v>0</v>
      </c>
      <c r="AS56" s="9">
        <v>0</v>
      </c>
      <c r="AT56" s="9">
        <v>0</v>
      </c>
      <c r="AU56" s="9">
        <v>0</v>
      </c>
      <c r="AV56" s="9">
        <v>0</v>
      </c>
      <c r="AW56" s="9">
        <v>0</v>
      </c>
      <c r="AX56" s="9">
        <f t="shared" si="4"/>
        <v>324.21089825667292</v>
      </c>
      <c r="AY56" s="9">
        <f t="shared" si="5"/>
        <v>90.310548606323266</v>
      </c>
      <c r="AZ56" s="9">
        <f t="shared" si="6"/>
        <v>99.639860139860161</v>
      </c>
      <c r="BA56" s="9">
        <f t="shared" si="7"/>
        <v>177.08240175317647</v>
      </c>
      <c r="BB56" s="9">
        <f t="shared" si="8"/>
        <v>147.12849650349648</v>
      </c>
      <c r="BC56" s="19"/>
      <c r="BD56" s="9">
        <v>204</v>
      </c>
      <c r="BF56" s="252">
        <v>177</v>
      </c>
      <c r="BH56" s="252">
        <v>55</v>
      </c>
      <c r="BI56" s="252">
        <f t="shared" si="9"/>
        <v>55</v>
      </c>
      <c r="BJ56" s="252">
        <f t="shared" si="23"/>
        <v>308.7722840539742</v>
      </c>
      <c r="BK56" s="256">
        <f t="shared" si="21"/>
        <v>55</v>
      </c>
      <c r="BP56" s="252">
        <v>26</v>
      </c>
      <c r="BQ56" s="252">
        <f t="shared" si="11"/>
        <v>26</v>
      </c>
      <c r="BR56" s="256">
        <f t="shared" si="12"/>
        <v>308.7722840539742</v>
      </c>
      <c r="BS56" s="255">
        <f t="shared" si="22"/>
        <v>26</v>
      </c>
      <c r="BU56" s="252">
        <v>0</v>
      </c>
      <c r="BW56" s="9">
        <v>2</v>
      </c>
      <c r="BX56" s="9">
        <v>19</v>
      </c>
      <c r="BY56" s="9">
        <v>26</v>
      </c>
      <c r="BZ56" s="9">
        <v>24</v>
      </c>
      <c r="CA56" s="9">
        <v>28</v>
      </c>
      <c r="CB56" s="9">
        <v>24</v>
      </c>
      <c r="CC56" s="9">
        <v>28</v>
      </c>
      <c r="CD56" s="9">
        <v>32</v>
      </c>
      <c r="CE56" s="9">
        <v>21</v>
      </c>
      <c r="CF56" s="9">
        <v>23</v>
      </c>
      <c r="CG56" s="9">
        <v>18</v>
      </c>
      <c r="CH56" s="9">
        <v>18</v>
      </c>
      <c r="CI56" s="9">
        <v>15</v>
      </c>
      <c r="CJ56" s="9">
        <v>14</v>
      </c>
      <c r="CK56" s="23">
        <f t="shared" si="13"/>
        <v>280.5</v>
      </c>
      <c r="CL56">
        <f t="shared" si="14"/>
        <v>87.5</v>
      </c>
      <c r="CM56">
        <f t="shared" si="15"/>
        <v>65</v>
      </c>
      <c r="CN56" s="23">
        <f t="shared" si="16"/>
        <v>171.5</v>
      </c>
      <c r="CO56">
        <f t="shared" si="20"/>
        <v>109</v>
      </c>
      <c r="CQ56" s="23">
        <f t="shared" si="18"/>
        <v>181</v>
      </c>
      <c r="CR56" s="23">
        <f t="shared" si="19"/>
        <v>109</v>
      </c>
    </row>
    <row r="57" spans="1:96" ht="29.25">
      <c r="A57" t="str">
        <f t="shared" si="0"/>
        <v>234</v>
      </c>
      <c r="B57">
        <f t="shared" si="3"/>
        <v>234</v>
      </c>
      <c r="C57" s="14" t="s">
        <v>64</v>
      </c>
      <c r="D57" s="11"/>
      <c r="E57" s="9">
        <f>SUM(10.0625*0.5)</f>
        <v>5.03125</v>
      </c>
      <c r="F57" s="9">
        <v>9.17</v>
      </c>
      <c r="G57" s="9">
        <v>11.22</v>
      </c>
      <c r="H57" s="9">
        <v>7.83</v>
      </c>
      <c r="I57" s="9">
        <v>11.0133333333333</v>
      </c>
      <c r="J57" s="9">
        <v>12.7266666666667</v>
      </c>
      <c r="K57" s="9">
        <v>7.1866666666666701</v>
      </c>
      <c r="L57" s="9">
        <v>14.2466666666667</v>
      </c>
      <c r="M57" s="9">
        <v>11.216666666666701</v>
      </c>
      <c r="N57" s="9">
        <v>10.52</v>
      </c>
      <c r="O57" s="9">
        <v>8.5266666666666708</v>
      </c>
      <c r="P57" s="9">
        <v>7.35</v>
      </c>
      <c r="Q57" s="9">
        <v>3.8979591836734699</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v>
      </c>
      <c r="AR57" s="9">
        <v>0</v>
      </c>
      <c r="AS57" s="9">
        <v>0</v>
      </c>
      <c r="AT57" s="9">
        <v>0</v>
      </c>
      <c r="AU57" s="9">
        <v>0</v>
      </c>
      <c r="AV57" s="9">
        <v>0</v>
      </c>
      <c r="AW57" s="9">
        <v>0</v>
      </c>
      <c r="AX57" s="9">
        <f t="shared" si="4"/>
        <v>125.93266964285721</v>
      </c>
      <c r="AY57" s="9">
        <f t="shared" si="5"/>
        <v>34.913812499999999</v>
      </c>
      <c r="AZ57" s="9">
        <f t="shared" si="6"/>
        <v>31.809357142857149</v>
      </c>
      <c r="BA57" s="9">
        <f t="shared" si="7"/>
        <v>67.386812500000019</v>
      </c>
      <c r="BB57" s="9">
        <f t="shared" si="8"/>
        <v>58.54585714285723</v>
      </c>
      <c r="BC57" s="19"/>
      <c r="BD57" s="9">
        <v>108</v>
      </c>
      <c r="BF57" s="252">
        <v>107</v>
      </c>
      <c r="BH57" s="252">
        <v>11</v>
      </c>
      <c r="BI57" s="252">
        <f t="shared" si="9"/>
        <v>11</v>
      </c>
      <c r="BJ57" s="252">
        <f t="shared" si="23"/>
        <v>119.9358758503402</v>
      </c>
      <c r="BK57" s="256">
        <f t="shared" si="21"/>
        <v>11</v>
      </c>
      <c r="BP57" s="252">
        <v>21</v>
      </c>
      <c r="BQ57" s="252">
        <f t="shared" si="11"/>
        <v>21</v>
      </c>
      <c r="BR57" s="256">
        <f t="shared" si="12"/>
        <v>119.9358758503402</v>
      </c>
      <c r="BS57" s="255">
        <f t="shared" si="22"/>
        <v>21</v>
      </c>
      <c r="BU57" s="252">
        <v>0</v>
      </c>
      <c r="BW57" s="9">
        <v>0</v>
      </c>
      <c r="BX57" s="9">
        <v>14</v>
      </c>
      <c r="BY57" s="9">
        <v>10</v>
      </c>
      <c r="BZ57" s="9">
        <v>8</v>
      </c>
      <c r="CA57" s="9">
        <v>13</v>
      </c>
      <c r="CB57" s="9">
        <v>9</v>
      </c>
      <c r="CC57" s="9">
        <v>15</v>
      </c>
      <c r="CD57" s="9">
        <v>13</v>
      </c>
      <c r="CE57" s="9">
        <v>7</v>
      </c>
      <c r="CF57" s="9">
        <v>16</v>
      </c>
      <c r="CG57" s="9">
        <v>9</v>
      </c>
      <c r="CH57" s="9">
        <v>12</v>
      </c>
      <c r="CI57" s="9">
        <v>8</v>
      </c>
      <c r="CJ57" s="9">
        <v>6</v>
      </c>
      <c r="CK57" s="23">
        <f t="shared" si="13"/>
        <v>133</v>
      </c>
      <c r="CL57">
        <f t="shared" si="14"/>
        <v>38</v>
      </c>
      <c r="CM57">
        <f t="shared" si="15"/>
        <v>35</v>
      </c>
      <c r="CN57" s="23">
        <f t="shared" si="16"/>
        <v>75</v>
      </c>
      <c r="CO57">
        <f t="shared" si="20"/>
        <v>100</v>
      </c>
      <c r="CQ57" s="23">
        <f t="shared" si="18"/>
        <v>82</v>
      </c>
      <c r="CR57" s="23">
        <f t="shared" si="19"/>
        <v>58</v>
      </c>
    </row>
    <row r="58" spans="1:96" ht="29.25">
      <c r="A58" t="str">
        <f t="shared" si="0"/>
        <v>242</v>
      </c>
      <c r="B58">
        <f t="shared" si="3"/>
        <v>242</v>
      </c>
      <c r="C58" s="14" t="s">
        <v>65</v>
      </c>
      <c r="D58" s="11"/>
      <c r="E58" s="9">
        <f>SUM(33.9628608553966*0.5)</f>
        <v>16.981430427698299</v>
      </c>
      <c r="F58" s="9">
        <v>30.351744186046499</v>
      </c>
      <c r="G58" s="9">
        <v>22.119186046511601</v>
      </c>
      <c r="H58" s="9">
        <v>31.322674418604699</v>
      </c>
      <c r="I58" s="9">
        <v>31.430232558139501</v>
      </c>
      <c r="J58" s="9">
        <v>34.380813953488399</v>
      </c>
      <c r="K58" s="9">
        <v>21.023255813953501</v>
      </c>
      <c r="L58" s="9">
        <v>21.322674418604699</v>
      </c>
      <c r="M58" s="9">
        <v>32.444767441860499</v>
      </c>
      <c r="N58" s="9">
        <v>35.369186046511601</v>
      </c>
      <c r="O58" s="9">
        <v>25.183139534883701</v>
      </c>
      <c r="P58" s="9">
        <v>37.956395348837198</v>
      </c>
      <c r="Q58" s="9">
        <v>24.7761627906977</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0</v>
      </c>
      <c r="AR58" s="9">
        <v>0</v>
      </c>
      <c r="AS58" s="9">
        <v>0</v>
      </c>
      <c r="AT58" s="9">
        <v>0</v>
      </c>
      <c r="AU58" s="9">
        <v>0</v>
      </c>
      <c r="AV58" s="9">
        <v>0</v>
      </c>
      <c r="AW58" s="9">
        <v>0</v>
      </c>
      <c r="AX58" s="9">
        <f t="shared" si="4"/>
        <v>382.89474613512982</v>
      </c>
      <c r="AY58" s="9">
        <f t="shared" si="5"/>
        <v>105.81378683280415</v>
      </c>
      <c r="AZ58" s="9">
        <f t="shared" si="6"/>
        <v>129.44912790697671</v>
      </c>
      <c r="BA58" s="9">
        <f t="shared" si="7"/>
        <v>196.98980427466464</v>
      </c>
      <c r="BB58" s="9">
        <f t="shared" si="8"/>
        <v>185.90494186046516</v>
      </c>
      <c r="BC58" s="19"/>
      <c r="BD58" s="9">
        <v>146</v>
      </c>
      <c r="BF58" s="252">
        <v>135</v>
      </c>
      <c r="BH58" s="252">
        <v>22</v>
      </c>
      <c r="BI58" s="252">
        <f t="shared" si="9"/>
        <v>22</v>
      </c>
      <c r="BJ58" s="252">
        <f t="shared" si="23"/>
        <v>364.66166298583789</v>
      </c>
      <c r="BK58" s="256">
        <f t="shared" si="21"/>
        <v>22</v>
      </c>
      <c r="BP58" s="252">
        <v>0</v>
      </c>
      <c r="BQ58" s="252">
        <f t="shared" si="11"/>
        <v>0</v>
      </c>
      <c r="BR58" s="256">
        <f t="shared" si="12"/>
        <v>364.66166298583789</v>
      </c>
      <c r="BS58" s="255">
        <f t="shared" si="22"/>
        <v>0</v>
      </c>
      <c r="BU58" s="252">
        <v>0</v>
      </c>
      <c r="BW58" s="9">
        <v>1</v>
      </c>
      <c r="BX58" s="9">
        <v>22</v>
      </c>
      <c r="BY58" s="9">
        <v>34</v>
      </c>
      <c r="BZ58" s="9">
        <v>30</v>
      </c>
      <c r="CA58" s="9">
        <v>20</v>
      </c>
      <c r="CB58" s="9">
        <v>32</v>
      </c>
      <c r="CC58" s="9">
        <v>33</v>
      </c>
      <c r="CD58" s="9">
        <v>34</v>
      </c>
      <c r="CE58" s="9">
        <v>20</v>
      </c>
      <c r="CF58" s="9">
        <v>24</v>
      </c>
      <c r="CG58" s="9">
        <v>33</v>
      </c>
      <c r="CH58" s="9">
        <v>35</v>
      </c>
      <c r="CI58" s="9">
        <v>25</v>
      </c>
      <c r="CJ58" s="9">
        <v>38</v>
      </c>
      <c r="CK58" s="23">
        <f t="shared" si="13"/>
        <v>369</v>
      </c>
      <c r="CL58">
        <f t="shared" si="14"/>
        <v>95</v>
      </c>
      <c r="CM58">
        <f t="shared" si="15"/>
        <v>131</v>
      </c>
      <c r="CN58" s="23">
        <f t="shared" si="16"/>
        <v>194</v>
      </c>
      <c r="CO58">
        <f t="shared" si="20"/>
        <v>175</v>
      </c>
      <c r="CQ58" s="23">
        <f t="shared" si="18"/>
        <v>205</v>
      </c>
      <c r="CR58" s="23">
        <f t="shared" si="19"/>
        <v>175</v>
      </c>
    </row>
    <row r="59" spans="1:96" ht="29.25">
      <c r="A59" t="str">
        <f t="shared" si="0"/>
        <v>243</v>
      </c>
      <c r="B59">
        <f t="shared" si="3"/>
        <v>243</v>
      </c>
      <c r="C59" s="14" t="s">
        <v>66</v>
      </c>
      <c r="D59" s="11"/>
      <c r="E59" s="9">
        <f>SUM(10.431654676259*0.5)</f>
        <v>5.2158273381295004</v>
      </c>
      <c r="F59" s="9">
        <v>8.8405797101449295</v>
      </c>
      <c r="G59" s="9">
        <v>8.0942028985507193</v>
      </c>
      <c r="H59" s="9">
        <v>9.4565217391304408</v>
      </c>
      <c r="I59" s="9">
        <v>3.1884057971014501</v>
      </c>
      <c r="J59" s="9">
        <v>5.2826086956521703</v>
      </c>
      <c r="K59" s="9">
        <v>8.1775362318840603</v>
      </c>
      <c r="L59" s="9">
        <v>7.3586956521739104</v>
      </c>
      <c r="M59" s="9">
        <v>5.2137681159420302</v>
      </c>
      <c r="N59" s="9">
        <v>10.9601449275362</v>
      </c>
      <c r="O59" s="9">
        <v>11.2898550724638</v>
      </c>
      <c r="P59" s="9">
        <v>8.97463768115942</v>
      </c>
      <c r="Q59" s="9">
        <v>6.7173913043478297</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9">
        <v>0</v>
      </c>
      <c r="AS59" s="9">
        <v>0</v>
      </c>
      <c r="AT59" s="9">
        <v>0</v>
      </c>
      <c r="AU59" s="9">
        <v>0</v>
      </c>
      <c r="AV59" s="9">
        <v>0</v>
      </c>
      <c r="AW59" s="9">
        <v>0</v>
      </c>
      <c r="AX59" s="9">
        <f t="shared" si="4"/>
        <v>103.7086839224273</v>
      </c>
      <c r="AY59" s="9">
        <f t="shared" si="5"/>
        <v>33.187488270253368</v>
      </c>
      <c r="AZ59" s="9">
        <f t="shared" si="6"/>
        <v>39.839130434782611</v>
      </c>
      <c r="BA59" s="9">
        <f t="shared" si="7"/>
        <v>50.668466531122938</v>
      </c>
      <c r="BB59" s="9">
        <f t="shared" si="8"/>
        <v>53.04021739130436</v>
      </c>
      <c r="BC59" s="19"/>
      <c r="BD59" s="9">
        <v>58</v>
      </c>
      <c r="BF59" s="252">
        <v>52</v>
      </c>
      <c r="BH59" s="252">
        <v>15</v>
      </c>
      <c r="BI59" s="252">
        <f t="shared" si="9"/>
        <v>15</v>
      </c>
      <c r="BJ59" s="252">
        <f t="shared" si="23"/>
        <v>98.770175164216468</v>
      </c>
      <c r="BK59" s="256">
        <f t="shared" si="21"/>
        <v>15</v>
      </c>
      <c r="BP59" s="252">
        <v>0</v>
      </c>
      <c r="BQ59" s="252">
        <f t="shared" si="11"/>
        <v>0</v>
      </c>
      <c r="BR59" s="256">
        <f t="shared" si="12"/>
        <v>98.770175164216468</v>
      </c>
      <c r="BS59" s="255">
        <f t="shared" si="22"/>
        <v>0</v>
      </c>
      <c r="BU59" s="252">
        <v>0</v>
      </c>
      <c r="BW59" s="9">
        <v>2</v>
      </c>
      <c r="BX59" s="9">
        <v>9</v>
      </c>
      <c r="BY59" s="9">
        <v>12</v>
      </c>
      <c r="BZ59" s="9">
        <v>10</v>
      </c>
      <c r="CA59" s="9">
        <v>10</v>
      </c>
      <c r="CB59" s="9">
        <v>10</v>
      </c>
      <c r="CC59" s="9">
        <v>6</v>
      </c>
      <c r="CD59" s="9">
        <v>6</v>
      </c>
      <c r="CE59" s="9">
        <v>10</v>
      </c>
      <c r="CF59" s="9">
        <v>6</v>
      </c>
      <c r="CG59" s="9">
        <v>8</v>
      </c>
      <c r="CH59" s="9">
        <v>11</v>
      </c>
      <c r="CI59" s="9">
        <v>12</v>
      </c>
      <c r="CJ59" s="9">
        <v>9</v>
      </c>
      <c r="CK59" s="23">
        <f t="shared" si="13"/>
        <v>114.5</v>
      </c>
      <c r="CL59">
        <f t="shared" si="14"/>
        <v>36.5</v>
      </c>
      <c r="CM59">
        <f t="shared" si="15"/>
        <v>40</v>
      </c>
      <c r="CN59" s="23">
        <f t="shared" si="16"/>
        <v>58.5</v>
      </c>
      <c r="CO59">
        <f t="shared" si="20"/>
        <v>100</v>
      </c>
      <c r="CQ59" s="23">
        <f t="shared" si="18"/>
        <v>63</v>
      </c>
      <c r="CR59" s="23">
        <f t="shared" si="19"/>
        <v>56</v>
      </c>
    </row>
    <row r="60" spans="1:96" ht="29.25">
      <c r="A60" t="str">
        <f t="shared" si="0"/>
        <v>244</v>
      </c>
      <c r="B60">
        <f t="shared" si="3"/>
        <v>244</v>
      </c>
      <c r="C60" s="14" t="s">
        <v>67</v>
      </c>
      <c r="D60" s="11"/>
      <c r="E60" s="9">
        <f>SUM(82.5874270831015*0.5)</f>
        <v>41.293713541550751</v>
      </c>
      <c r="F60" s="9">
        <v>87.909638554216897</v>
      </c>
      <c r="G60" s="9">
        <v>103.213452784594</v>
      </c>
      <c r="H60" s="9">
        <v>91.045180722891601</v>
      </c>
      <c r="I60" s="9">
        <v>92.591671256546107</v>
      </c>
      <c r="J60" s="9">
        <v>90.189759036144594</v>
      </c>
      <c r="K60" s="9">
        <v>99.4233865066589</v>
      </c>
      <c r="L60" s="9">
        <v>72.809903761629101</v>
      </c>
      <c r="M60" s="9">
        <v>93.278939889897799</v>
      </c>
      <c r="N60" s="9">
        <v>82.640951338872398</v>
      </c>
      <c r="O60" s="9">
        <v>101.677787189326</v>
      </c>
      <c r="P60" s="9">
        <v>90.437963927007601</v>
      </c>
      <c r="Q60" s="9">
        <v>75.679455581724397</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9">
        <v>0</v>
      </c>
      <c r="AS60" s="9">
        <v>0</v>
      </c>
      <c r="AT60" s="9">
        <v>0</v>
      </c>
      <c r="AU60" s="9">
        <v>0</v>
      </c>
      <c r="AV60" s="9">
        <v>0</v>
      </c>
      <c r="AW60" s="9">
        <v>0</v>
      </c>
      <c r="AX60" s="9">
        <f t="shared" si="4"/>
        <v>1178.3013942956131</v>
      </c>
      <c r="AY60" s="9">
        <f t="shared" si="5"/>
        <v>339.63508488341591</v>
      </c>
      <c r="AZ60" s="9">
        <f t="shared" si="6"/>
        <v>367.95796593877691</v>
      </c>
      <c r="BA60" s="9">
        <f t="shared" si="7"/>
        <v>635.95014252273313</v>
      </c>
      <c r="BB60" s="9">
        <f t="shared" si="8"/>
        <v>542.35125177288023</v>
      </c>
      <c r="BC60" s="19"/>
      <c r="BD60" s="9">
        <v>608</v>
      </c>
      <c r="BF60" s="252">
        <v>532</v>
      </c>
      <c r="BH60" s="252">
        <v>157</v>
      </c>
      <c r="BI60" s="252">
        <f t="shared" si="9"/>
        <v>157</v>
      </c>
      <c r="BJ60" s="252">
        <f t="shared" si="23"/>
        <v>1122.19180409106</v>
      </c>
      <c r="BK60" s="256">
        <f t="shared" si="21"/>
        <v>157</v>
      </c>
      <c r="BP60" s="252" t="s">
        <v>239</v>
      </c>
      <c r="BQ60" s="252" t="str">
        <f t="shared" si="11"/>
        <v/>
      </c>
      <c r="BR60" s="256" t="str">
        <f t="shared" si="12"/>
        <v/>
      </c>
      <c r="BS60" s="255">
        <f t="shared" si="22"/>
        <v>100.79067576424836</v>
      </c>
      <c r="BU60" s="252">
        <v>0</v>
      </c>
      <c r="BW60" s="9">
        <v>12</v>
      </c>
      <c r="BX60" s="9">
        <v>72</v>
      </c>
      <c r="BY60" s="9">
        <v>87</v>
      </c>
      <c r="BZ60" s="9">
        <v>92</v>
      </c>
      <c r="CA60" s="9">
        <v>115</v>
      </c>
      <c r="CB60" s="9">
        <v>92</v>
      </c>
      <c r="CC60" s="9">
        <v>106</v>
      </c>
      <c r="CD60" s="9">
        <v>99</v>
      </c>
      <c r="CE60" s="9">
        <v>107</v>
      </c>
      <c r="CF60" s="9">
        <v>81</v>
      </c>
      <c r="CG60" s="9">
        <v>105</v>
      </c>
      <c r="CH60" s="9">
        <v>86</v>
      </c>
      <c r="CI60" s="9">
        <v>111</v>
      </c>
      <c r="CJ60" s="9">
        <v>83</v>
      </c>
      <c r="CK60" s="23">
        <f t="shared" si="13"/>
        <v>1200</v>
      </c>
      <c r="CL60">
        <f t="shared" si="14"/>
        <v>330</v>
      </c>
      <c r="CM60">
        <f t="shared" si="15"/>
        <v>385</v>
      </c>
      <c r="CN60" s="23">
        <f t="shared" si="16"/>
        <v>627</v>
      </c>
      <c r="CO60">
        <f t="shared" si="20"/>
        <v>573</v>
      </c>
      <c r="CQ60" s="23">
        <f t="shared" si="18"/>
        <v>663</v>
      </c>
      <c r="CR60" s="23">
        <f t="shared" si="19"/>
        <v>573</v>
      </c>
    </row>
    <row r="61" spans="1:96" ht="29.25">
      <c r="A61" t="str">
        <f t="shared" si="0"/>
        <v>251</v>
      </c>
      <c r="B61">
        <f t="shared" si="3"/>
        <v>251</v>
      </c>
      <c r="C61" s="14" t="s">
        <v>68</v>
      </c>
      <c r="D61" s="11"/>
      <c r="E61" s="9">
        <f>SUM(421.317396418923*0.5)</f>
        <v>210.65869820946151</v>
      </c>
      <c r="F61" s="9">
        <v>433.74878463638498</v>
      </c>
      <c r="G61" s="9">
        <v>441.39339075055199</v>
      </c>
      <c r="H61" s="9">
        <v>455.30963871244097</v>
      </c>
      <c r="I61" s="9">
        <v>478.33356893552599</v>
      </c>
      <c r="J61" s="9">
        <v>468.06442663032101</v>
      </c>
      <c r="K61" s="9">
        <v>462.60355029585799</v>
      </c>
      <c r="L61" s="9">
        <v>425.83136094674597</v>
      </c>
      <c r="M61" s="9">
        <v>392.12130177514803</v>
      </c>
      <c r="N61" s="9">
        <v>405.81845238095201</v>
      </c>
      <c r="O61" s="9">
        <v>356.45238095238102</v>
      </c>
      <c r="P61" s="9">
        <v>334.64880952380997</v>
      </c>
      <c r="Q61" s="9">
        <v>354.30357142857099</v>
      </c>
      <c r="R61" s="9">
        <v>0</v>
      </c>
      <c r="S61" s="9">
        <v>0</v>
      </c>
      <c r="T61" s="9">
        <v>0</v>
      </c>
      <c r="U61" s="9">
        <v>2.0142619047618999</v>
      </c>
      <c r="V61" s="9">
        <v>12.137166666666699</v>
      </c>
      <c r="W61" s="9">
        <v>19.577991746031799</v>
      </c>
      <c r="X61" s="9">
        <v>12.0704676190476</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4.3529411764705896</v>
      </c>
      <c r="AR61" s="9">
        <v>7.4558823529411802</v>
      </c>
      <c r="AS61" s="9">
        <v>7.9264705882352899</v>
      </c>
      <c r="AT61" s="9">
        <v>22.676470588235301</v>
      </c>
      <c r="AU61" s="9">
        <v>12.147058823529401</v>
      </c>
      <c r="AV61" s="9">
        <v>7.9705882352941204</v>
      </c>
      <c r="AW61" s="9">
        <v>0.55882352941176505</v>
      </c>
      <c r="AX61" s="9">
        <f t="shared" si="4"/>
        <v>5594.5848613292173</v>
      </c>
      <c r="AY61" s="9">
        <f t="shared" si="5"/>
        <v>1618.1660379242817</v>
      </c>
      <c r="AZ61" s="9">
        <f t="shared" si="6"/>
        <v>1617.3948455686275</v>
      </c>
      <c r="BA61" s="9">
        <f t="shared" si="7"/>
        <v>3102.1882493143662</v>
      </c>
      <c r="BB61" s="9">
        <f t="shared" si="8"/>
        <v>2492.3966120148511</v>
      </c>
      <c r="BC61" s="19"/>
      <c r="BD61" s="9">
        <v>2264</v>
      </c>
      <c r="BF61" s="252">
        <v>2163</v>
      </c>
      <c r="BH61" s="252">
        <v>487</v>
      </c>
      <c r="BI61" s="252">
        <f t="shared" si="9"/>
        <v>487</v>
      </c>
      <c r="BJ61" s="252">
        <f t="shared" si="23"/>
        <v>5219.2879351781521</v>
      </c>
      <c r="BK61" s="256">
        <f t="shared" si="21"/>
        <v>487</v>
      </c>
      <c r="BP61" s="252">
        <v>321</v>
      </c>
      <c r="BQ61" s="252">
        <f t="shared" si="11"/>
        <v>321</v>
      </c>
      <c r="BR61" s="256">
        <f t="shared" si="12"/>
        <v>5219.2879351781521</v>
      </c>
      <c r="BS61" s="255">
        <f t="shared" si="22"/>
        <v>321</v>
      </c>
      <c r="BU61" s="252">
        <v>175</v>
      </c>
      <c r="BW61" s="9">
        <v>91</v>
      </c>
      <c r="BX61" s="9">
        <v>503</v>
      </c>
      <c r="BY61" s="9">
        <v>466</v>
      </c>
      <c r="BZ61" s="9">
        <v>473</v>
      </c>
      <c r="CA61" s="9">
        <v>473</v>
      </c>
      <c r="CB61" s="9">
        <v>502</v>
      </c>
      <c r="CC61" s="9">
        <v>516</v>
      </c>
      <c r="CD61" s="9">
        <v>509</v>
      </c>
      <c r="CE61" s="9">
        <v>517</v>
      </c>
      <c r="CF61" s="9">
        <v>451</v>
      </c>
      <c r="CG61" s="9">
        <v>446</v>
      </c>
      <c r="CH61" s="9">
        <v>443</v>
      </c>
      <c r="CI61" s="9">
        <v>407</v>
      </c>
      <c r="CJ61" s="9">
        <v>365</v>
      </c>
      <c r="CK61" s="23">
        <f t="shared" si="13"/>
        <v>5835.2720588235297</v>
      </c>
      <c r="CL61">
        <f t="shared" si="14"/>
        <v>1663.5</v>
      </c>
      <c r="CM61">
        <f t="shared" si="15"/>
        <v>1671.8382352941176</v>
      </c>
      <c r="CN61" s="23">
        <f t="shared" si="16"/>
        <v>3191.5882352941176</v>
      </c>
      <c r="CO61">
        <f t="shared" si="20"/>
        <v>2643.6838235294117</v>
      </c>
      <c r="CQ61" s="23">
        <f t="shared" si="18"/>
        <v>3443.0882352941176</v>
      </c>
      <c r="CR61" s="23">
        <f t="shared" si="19"/>
        <v>2643.6838235294117</v>
      </c>
    </row>
    <row r="62" spans="1:96" ht="29.25">
      <c r="A62" t="str">
        <f t="shared" si="0"/>
        <v>252</v>
      </c>
      <c r="B62">
        <f t="shared" si="3"/>
        <v>252</v>
      </c>
      <c r="C62" s="14" t="s">
        <v>69</v>
      </c>
      <c r="D62" s="11"/>
      <c r="E62" s="9">
        <f>SUM(33.2767295597484*0.5)</f>
        <v>16.638364779874198</v>
      </c>
      <c r="F62" s="9">
        <v>52.336477987421397</v>
      </c>
      <c r="G62" s="9">
        <v>36.4339622641509</v>
      </c>
      <c r="H62" s="9">
        <v>44.336477987421397</v>
      </c>
      <c r="I62" s="9">
        <v>58.971698113207502</v>
      </c>
      <c r="J62" s="9">
        <v>48.179245283018901</v>
      </c>
      <c r="K62" s="9">
        <v>40.361635220125798</v>
      </c>
      <c r="L62" s="9">
        <v>55.081761006289298</v>
      </c>
      <c r="M62" s="9">
        <v>61.119496855345901</v>
      </c>
      <c r="N62" s="9">
        <v>63.591194968553502</v>
      </c>
      <c r="O62" s="9">
        <v>59.2201257861635</v>
      </c>
      <c r="P62" s="9">
        <v>59.477987421383602</v>
      </c>
      <c r="Q62" s="9">
        <v>51.194968553459098</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9">
        <v>0</v>
      </c>
      <c r="AS62" s="9">
        <v>0</v>
      </c>
      <c r="AT62" s="9">
        <v>0</v>
      </c>
      <c r="AU62" s="9">
        <v>0</v>
      </c>
      <c r="AV62" s="9">
        <v>0</v>
      </c>
      <c r="AW62" s="9">
        <v>0</v>
      </c>
      <c r="AX62" s="9">
        <f t="shared" si="4"/>
        <v>679.29056603773574</v>
      </c>
      <c r="AY62" s="9">
        <f t="shared" si="5"/>
        <v>157.23254716981128</v>
      </c>
      <c r="AZ62" s="9">
        <f t="shared" si="6"/>
        <v>245.1584905660377</v>
      </c>
      <c r="BA62" s="9">
        <f t="shared" si="7"/>
        <v>312.12075471698108</v>
      </c>
      <c r="BB62" s="9">
        <f t="shared" si="8"/>
        <v>367.16981132075466</v>
      </c>
      <c r="BC62" s="19"/>
      <c r="BD62" s="9">
        <v>314</v>
      </c>
      <c r="BF62" s="252">
        <v>290</v>
      </c>
      <c r="BH62" s="252">
        <v>73</v>
      </c>
      <c r="BI62" s="252">
        <f t="shared" si="9"/>
        <v>73</v>
      </c>
      <c r="BJ62" s="252">
        <f t="shared" si="23"/>
        <v>646.94339622641496</v>
      </c>
      <c r="BK62" s="256">
        <f t="shared" si="21"/>
        <v>73</v>
      </c>
      <c r="BP62" s="252">
        <v>19</v>
      </c>
      <c r="BQ62" s="252">
        <f t="shared" si="11"/>
        <v>19</v>
      </c>
      <c r="BR62" s="256">
        <f t="shared" si="12"/>
        <v>646.94339622641496</v>
      </c>
      <c r="BS62" s="255">
        <f t="shared" si="22"/>
        <v>19</v>
      </c>
      <c r="BU62" s="252">
        <v>0</v>
      </c>
      <c r="BW62" s="9">
        <v>29</v>
      </c>
      <c r="BX62" s="9">
        <v>37</v>
      </c>
      <c r="BY62" s="9">
        <v>37</v>
      </c>
      <c r="BZ62" s="9">
        <v>57</v>
      </c>
      <c r="CA62" s="9">
        <v>42</v>
      </c>
      <c r="CB62" s="9">
        <v>49</v>
      </c>
      <c r="CC62" s="9">
        <v>60</v>
      </c>
      <c r="CD62" s="9">
        <v>51</v>
      </c>
      <c r="CE62" s="9">
        <v>46</v>
      </c>
      <c r="CF62" s="9">
        <v>63</v>
      </c>
      <c r="CG62" s="9">
        <v>69</v>
      </c>
      <c r="CH62" s="9">
        <v>68</v>
      </c>
      <c r="CI62" s="9">
        <v>59</v>
      </c>
      <c r="CJ62" s="9">
        <v>56</v>
      </c>
      <c r="CK62" s="23">
        <f t="shared" si="13"/>
        <v>675.5</v>
      </c>
      <c r="CL62">
        <f t="shared" si="14"/>
        <v>154.5</v>
      </c>
      <c r="CM62">
        <f t="shared" si="15"/>
        <v>252</v>
      </c>
      <c r="CN62" s="23">
        <f t="shared" si="16"/>
        <v>314.5</v>
      </c>
      <c r="CO62">
        <f t="shared" si="20"/>
        <v>361</v>
      </c>
      <c r="CQ62" s="23">
        <f t="shared" si="18"/>
        <v>333</v>
      </c>
      <c r="CR62" s="23">
        <f t="shared" si="19"/>
        <v>361</v>
      </c>
    </row>
    <row r="63" spans="1:96" ht="29.25">
      <c r="A63" t="str">
        <f t="shared" si="0"/>
        <v>253</v>
      </c>
      <c r="B63">
        <f t="shared" si="3"/>
        <v>253</v>
      </c>
      <c r="C63" s="14" t="s">
        <v>70</v>
      </c>
      <c r="D63" s="11"/>
      <c r="E63" s="9">
        <f>SUM(27.4355828220859*0.5)</f>
        <v>13.717791411042951</v>
      </c>
      <c r="F63" s="9">
        <v>32.2269938650307</v>
      </c>
      <c r="G63" s="9">
        <v>35.837423312883402</v>
      </c>
      <c r="H63" s="9">
        <v>29.426380368098201</v>
      </c>
      <c r="I63" s="9">
        <v>47.852760736196302</v>
      </c>
      <c r="J63" s="9">
        <v>42.503067484662601</v>
      </c>
      <c r="K63" s="9">
        <v>50.122699386503101</v>
      </c>
      <c r="L63" s="9">
        <v>34.829411764705902</v>
      </c>
      <c r="M63" s="9">
        <v>49.770588235294099</v>
      </c>
      <c r="N63" s="9">
        <v>49.664705882352898</v>
      </c>
      <c r="O63" s="9">
        <v>56.208823529411802</v>
      </c>
      <c r="P63" s="9">
        <v>50.523529411764699</v>
      </c>
      <c r="Q63" s="9">
        <v>49.55</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9">
        <v>0</v>
      </c>
      <c r="AS63" s="9">
        <v>0</v>
      </c>
      <c r="AT63" s="9">
        <v>0</v>
      </c>
      <c r="AU63" s="9">
        <v>0</v>
      </c>
      <c r="AV63" s="9">
        <v>0</v>
      </c>
      <c r="AW63" s="9">
        <v>0</v>
      </c>
      <c r="AX63" s="9">
        <f t="shared" si="4"/>
        <v>569.34588415734402</v>
      </c>
      <c r="AY63" s="9">
        <f t="shared" si="5"/>
        <v>116.76901840490801</v>
      </c>
      <c r="AZ63" s="9">
        <f t="shared" si="6"/>
        <v>216.24441176470589</v>
      </c>
      <c r="BA63" s="9">
        <f t="shared" si="7"/>
        <v>264.27147239263809</v>
      </c>
      <c r="BB63" s="9">
        <f t="shared" si="8"/>
        <v>305.07441176470593</v>
      </c>
      <c r="BC63" s="19"/>
      <c r="BD63" s="9">
        <v>320</v>
      </c>
      <c r="BF63" s="252">
        <v>265</v>
      </c>
      <c r="BH63" s="252">
        <v>32</v>
      </c>
      <c r="BI63" s="252">
        <f t="shared" si="9"/>
        <v>32</v>
      </c>
      <c r="BJ63" s="252">
        <f t="shared" si="23"/>
        <v>542.23417538794661</v>
      </c>
      <c r="BK63" s="256">
        <f t="shared" si="21"/>
        <v>32</v>
      </c>
      <c r="BP63" s="252">
        <v>97</v>
      </c>
      <c r="BQ63" s="252">
        <f t="shared" si="11"/>
        <v>97</v>
      </c>
      <c r="BR63" s="256">
        <f t="shared" si="12"/>
        <v>542.23417538794661</v>
      </c>
      <c r="BS63" s="255">
        <f t="shared" si="22"/>
        <v>97</v>
      </c>
      <c r="BU63" s="252">
        <v>30</v>
      </c>
      <c r="BW63" s="9">
        <v>1</v>
      </c>
      <c r="BX63" s="9">
        <v>42</v>
      </c>
      <c r="BY63" s="9">
        <v>36</v>
      </c>
      <c r="BZ63" s="9">
        <v>36</v>
      </c>
      <c r="CA63" s="9">
        <v>40</v>
      </c>
      <c r="CB63" s="9">
        <v>33</v>
      </c>
      <c r="CC63" s="9">
        <v>57</v>
      </c>
      <c r="CD63" s="9">
        <v>46</v>
      </c>
      <c r="CE63" s="9">
        <v>53</v>
      </c>
      <c r="CF63" s="9">
        <v>42</v>
      </c>
      <c r="CG63" s="9">
        <v>49</v>
      </c>
      <c r="CH63" s="9">
        <v>51</v>
      </c>
      <c r="CI63" s="9">
        <v>56</v>
      </c>
      <c r="CJ63" s="9">
        <v>56</v>
      </c>
      <c r="CK63" s="23">
        <f t="shared" si="13"/>
        <v>576</v>
      </c>
      <c r="CL63">
        <f t="shared" si="14"/>
        <v>133</v>
      </c>
      <c r="CM63">
        <f t="shared" si="15"/>
        <v>212</v>
      </c>
      <c r="CN63" s="23">
        <f t="shared" si="16"/>
        <v>269</v>
      </c>
      <c r="CO63">
        <f t="shared" si="20"/>
        <v>307</v>
      </c>
      <c r="CQ63" s="23">
        <f t="shared" si="18"/>
        <v>290</v>
      </c>
      <c r="CR63" s="23">
        <f t="shared" si="19"/>
        <v>307</v>
      </c>
    </row>
    <row r="64" spans="1:96" ht="29.25">
      <c r="A64" t="str">
        <f t="shared" si="0"/>
        <v>261</v>
      </c>
      <c r="B64">
        <f t="shared" si="3"/>
        <v>261</v>
      </c>
      <c r="C64" s="14" t="s">
        <v>71</v>
      </c>
      <c r="D64" s="11"/>
      <c r="E64" s="9">
        <f>SUM(266.324294742714*0.5)</f>
        <v>133.16214737135701</v>
      </c>
      <c r="F64" s="9">
        <v>282.758620689655</v>
      </c>
      <c r="G64" s="9">
        <v>291.86781609195401</v>
      </c>
      <c r="H64" s="9">
        <v>303.13218390804599</v>
      </c>
      <c r="I64" s="9">
        <v>347.23275862068999</v>
      </c>
      <c r="J64" s="9">
        <v>308.67528735632197</v>
      </c>
      <c r="K64" s="9">
        <v>314.62138728323703</v>
      </c>
      <c r="L64" s="9">
        <v>304.61560693641599</v>
      </c>
      <c r="M64" s="9">
        <v>302.647398843931</v>
      </c>
      <c r="N64" s="9">
        <v>305.68023255814001</v>
      </c>
      <c r="O64" s="9">
        <v>268.29651162790702</v>
      </c>
      <c r="P64" s="9">
        <v>206.89534883720901</v>
      </c>
      <c r="Q64" s="9">
        <v>205.52616279069801</v>
      </c>
      <c r="R64" s="9">
        <v>1.7731034482758601</v>
      </c>
      <c r="S64" s="9">
        <v>3.0579693486589998</v>
      </c>
      <c r="T64" s="9">
        <v>7.2508429118773998</v>
      </c>
      <c r="U64" s="9">
        <v>4.3578160919540201</v>
      </c>
      <c r="V64" s="9">
        <v>2.0561428571428602</v>
      </c>
      <c r="W64" s="9">
        <v>1.0698305084745801</v>
      </c>
      <c r="X64" s="9">
        <v>1.75022988505747</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6.99705882352941</v>
      </c>
      <c r="AR64" s="9">
        <v>6.86960784313725</v>
      </c>
      <c r="AS64" s="9">
        <v>5.0725490196078402</v>
      </c>
      <c r="AT64" s="9">
        <v>15.0264705882353</v>
      </c>
      <c r="AU64" s="9">
        <v>10.5911764705882</v>
      </c>
      <c r="AV64" s="9">
        <v>14.1725490196078</v>
      </c>
      <c r="AW64" s="9">
        <v>4.0147058823529402</v>
      </c>
      <c r="AX64" s="9">
        <f t="shared" si="4"/>
        <v>3842.1300913947648</v>
      </c>
      <c r="AY64" s="9">
        <f t="shared" si="5"/>
        <v>1061.4668064640628</v>
      </c>
      <c r="AZ64" s="9">
        <f t="shared" si="6"/>
        <v>1091.4090359732356</v>
      </c>
      <c r="BA64" s="9">
        <f t="shared" si="7"/>
        <v>2089.7313817727195</v>
      </c>
      <c r="BB64" s="9">
        <f t="shared" si="8"/>
        <v>1752.3987096220453</v>
      </c>
      <c r="BC64" s="19"/>
      <c r="BD64" s="9">
        <v>2422</v>
      </c>
      <c r="BF64" s="252">
        <v>2386</v>
      </c>
      <c r="BH64" s="252">
        <v>393</v>
      </c>
      <c r="BI64" s="252">
        <f t="shared" si="9"/>
        <v>393</v>
      </c>
      <c r="BJ64" s="252">
        <f t="shared" si="23"/>
        <v>3575.1114629155618</v>
      </c>
      <c r="BK64" s="256">
        <f t="shared" si="21"/>
        <v>393</v>
      </c>
      <c r="BP64" s="252">
        <v>1054</v>
      </c>
      <c r="BQ64" s="252">
        <f t="shared" si="11"/>
        <v>1054</v>
      </c>
      <c r="BR64" s="256">
        <f t="shared" si="12"/>
        <v>3575.1114629155618</v>
      </c>
      <c r="BS64" s="255">
        <f t="shared" si="22"/>
        <v>1054</v>
      </c>
      <c r="BU64" s="252">
        <v>132</v>
      </c>
      <c r="BW64" s="9">
        <v>41</v>
      </c>
      <c r="BX64" s="9">
        <v>305</v>
      </c>
      <c r="BY64" s="9">
        <v>288</v>
      </c>
      <c r="BZ64" s="9">
        <v>307</v>
      </c>
      <c r="CA64" s="9">
        <v>316</v>
      </c>
      <c r="CB64" s="9">
        <v>321</v>
      </c>
      <c r="CC64" s="9">
        <v>371</v>
      </c>
      <c r="CD64" s="9">
        <v>328</v>
      </c>
      <c r="CE64" s="9">
        <v>343</v>
      </c>
      <c r="CF64" s="9">
        <v>343</v>
      </c>
      <c r="CG64" s="9">
        <v>336</v>
      </c>
      <c r="CH64" s="9">
        <v>325</v>
      </c>
      <c r="CI64" s="9">
        <v>230</v>
      </c>
      <c r="CJ64" s="9">
        <v>214</v>
      </c>
      <c r="CK64" s="23">
        <f t="shared" si="13"/>
        <v>3890.1860294117646</v>
      </c>
      <c r="CL64">
        <f t="shared" si="14"/>
        <v>1063.5</v>
      </c>
      <c r="CM64">
        <f t="shared" si="15"/>
        <v>1115.9512254901961</v>
      </c>
      <c r="CN64" s="23">
        <f t="shared" si="16"/>
        <v>2085.2492647058825</v>
      </c>
      <c r="CO64">
        <f t="shared" si="20"/>
        <v>1804.9367647058823</v>
      </c>
      <c r="CQ64" s="23">
        <f t="shared" si="18"/>
        <v>2237.7492647058825</v>
      </c>
      <c r="CR64" s="23">
        <f t="shared" si="19"/>
        <v>1804.9367647058823</v>
      </c>
    </row>
    <row r="65" spans="1:96" ht="29.25">
      <c r="A65" t="str">
        <f t="shared" si="0"/>
        <v>262</v>
      </c>
      <c r="B65">
        <f t="shared" si="3"/>
        <v>262</v>
      </c>
      <c r="C65" s="14" t="s">
        <v>72</v>
      </c>
      <c r="D65" s="11"/>
      <c r="E65" s="9">
        <f>SUM(38.8951048951049*0.5)</f>
        <v>19.44755244755245</v>
      </c>
      <c r="F65" s="9">
        <v>40.608391608391599</v>
      </c>
      <c r="G65" s="9">
        <v>35.321678321678299</v>
      </c>
      <c r="H65" s="9">
        <v>42.954545454545503</v>
      </c>
      <c r="I65" s="9">
        <v>41.6958041958042</v>
      </c>
      <c r="J65" s="9">
        <v>54.611888111888099</v>
      </c>
      <c r="K65" s="9">
        <v>41.066433566433602</v>
      </c>
      <c r="L65" s="9">
        <v>51.370629370629402</v>
      </c>
      <c r="M65" s="9">
        <v>43.688811188811201</v>
      </c>
      <c r="N65" s="9">
        <v>50.472027972028002</v>
      </c>
      <c r="O65" s="9">
        <v>29.7937062937063</v>
      </c>
      <c r="P65" s="9">
        <v>45.090909090909101</v>
      </c>
      <c r="Q65" s="9">
        <v>34.150349650349703</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9">
        <v>0</v>
      </c>
      <c r="AS65" s="9">
        <v>0</v>
      </c>
      <c r="AT65" s="9">
        <v>0</v>
      </c>
      <c r="AU65" s="9">
        <v>0</v>
      </c>
      <c r="AV65" s="9">
        <v>0</v>
      </c>
      <c r="AW65" s="9">
        <v>0</v>
      </c>
      <c r="AX65" s="9">
        <f t="shared" si="4"/>
        <v>556.78636363636383</v>
      </c>
      <c r="AY65" s="9">
        <f t="shared" si="5"/>
        <v>145.24877622377625</v>
      </c>
      <c r="AZ65" s="9">
        <f t="shared" si="6"/>
        <v>167.48234265734277</v>
      </c>
      <c r="BA65" s="9">
        <f t="shared" si="7"/>
        <v>289.49160839160845</v>
      </c>
      <c r="BB65" s="9">
        <f t="shared" si="8"/>
        <v>267.29475524475538</v>
      </c>
      <c r="BC65" s="19"/>
      <c r="BD65" s="9">
        <v>367</v>
      </c>
      <c r="BF65" s="252">
        <v>333</v>
      </c>
      <c r="BH65" s="252">
        <v>47</v>
      </c>
      <c r="BI65" s="252">
        <f t="shared" si="9"/>
        <v>47</v>
      </c>
      <c r="BJ65" s="252">
        <f t="shared" si="23"/>
        <v>530.27272727272748</v>
      </c>
      <c r="BK65" s="256">
        <f t="shared" si="21"/>
        <v>47</v>
      </c>
      <c r="BP65" s="252">
        <v>156</v>
      </c>
      <c r="BQ65" s="252">
        <f t="shared" si="11"/>
        <v>156</v>
      </c>
      <c r="BR65" s="256">
        <f t="shared" si="12"/>
        <v>530.27272727272748</v>
      </c>
      <c r="BS65" s="255">
        <f t="shared" si="22"/>
        <v>156</v>
      </c>
      <c r="BU65" s="252">
        <v>0</v>
      </c>
      <c r="BW65" s="9">
        <v>12</v>
      </c>
      <c r="BX65" s="9">
        <v>41</v>
      </c>
      <c r="BY65" s="9">
        <v>50</v>
      </c>
      <c r="BZ65" s="9">
        <v>40</v>
      </c>
      <c r="CA65" s="9">
        <v>37</v>
      </c>
      <c r="CB65" s="9">
        <v>46</v>
      </c>
      <c r="CC65" s="9">
        <v>50</v>
      </c>
      <c r="CD65" s="9">
        <v>61</v>
      </c>
      <c r="CE65" s="9">
        <v>43</v>
      </c>
      <c r="CF65" s="9">
        <v>50</v>
      </c>
      <c r="CG65" s="9">
        <v>48</v>
      </c>
      <c r="CH65" s="9">
        <v>49</v>
      </c>
      <c r="CI65" s="9">
        <v>36</v>
      </c>
      <c r="CJ65" s="9">
        <v>44</v>
      </c>
      <c r="CK65" s="23">
        <f t="shared" si="13"/>
        <v>574.5</v>
      </c>
      <c r="CL65">
        <f t="shared" si="14"/>
        <v>147.5</v>
      </c>
      <c r="CM65">
        <f t="shared" si="15"/>
        <v>177</v>
      </c>
      <c r="CN65" s="23">
        <f t="shared" si="16"/>
        <v>304.5</v>
      </c>
      <c r="CO65">
        <f t="shared" si="20"/>
        <v>270</v>
      </c>
      <c r="CQ65" s="23">
        <f t="shared" si="18"/>
        <v>325</v>
      </c>
      <c r="CR65" s="23">
        <f t="shared" si="19"/>
        <v>270</v>
      </c>
    </row>
    <row r="66" spans="1:96" ht="29.25">
      <c r="A66" t="str">
        <f t="shared" si="0"/>
        <v>271</v>
      </c>
      <c r="B66">
        <f t="shared" si="3"/>
        <v>271</v>
      </c>
      <c r="C66" s="14" t="s">
        <v>73</v>
      </c>
      <c r="D66" s="11"/>
      <c r="E66" s="9">
        <f>SUM(672.392289487131*0.5)</f>
        <v>336.19614474356553</v>
      </c>
      <c r="F66" s="9">
        <v>761.36390532544397</v>
      </c>
      <c r="G66" s="9">
        <v>825.39349112425998</v>
      </c>
      <c r="H66" s="9">
        <v>860.710059171598</v>
      </c>
      <c r="I66" s="9">
        <v>863.14792899408303</v>
      </c>
      <c r="J66" s="9">
        <v>862.92307692307702</v>
      </c>
      <c r="K66" s="9">
        <v>725.54979898815498</v>
      </c>
      <c r="L66" s="9">
        <v>719.74561403508801</v>
      </c>
      <c r="M66" s="9">
        <v>713.48245614035102</v>
      </c>
      <c r="N66" s="9">
        <v>797.68895348837202</v>
      </c>
      <c r="O66" s="9">
        <v>722.71220930232596</v>
      </c>
      <c r="P66" s="9">
        <v>663.11046511627899</v>
      </c>
      <c r="Q66" s="9">
        <v>581.38372093023304</v>
      </c>
      <c r="R66" s="9">
        <v>0</v>
      </c>
      <c r="S66" s="9">
        <v>0</v>
      </c>
      <c r="T66" s="9">
        <v>0</v>
      </c>
      <c r="U66" s="9">
        <v>9.5565542394088006</v>
      </c>
      <c r="V66" s="9">
        <v>29.2586886780139</v>
      </c>
      <c r="W66" s="9">
        <v>43.2155244797707</v>
      </c>
      <c r="X66" s="9">
        <v>23.146666900491301</v>
      </c>
      <c r="Y66" s="9">
        <v>0.79166666666666696</v>
      </c>
      <c r="Z66" s="9">
        <v>0.38888888888888901</v>
      </c>
      <c r="AA66" s="9">
        <v>1.0465116279069799</v>
      </c>
      <c r="AB66" s="9">
        <v>1.7345679012345701</v>
      </c>
      <c r="AC66" s="9">
        <v>2.5705128205128198</v>
      </c>
      <c r="AD66" s="9">
        <v>5.9830508474576298</v>
      </c>
      <c r="AE66" s="9">
        <v>5.6497175141242897</v>
      </c>
      <c r="AF66" s="9">
        <v>8.2372881355932197</v>
      </c>
      <c r="AG66" s="9">
        <v>4.8022598870056497</v>
      </c>
      <c r="AH66" s="9">
        <v>1</v>
      </c>
      <c r="AI66" s="9">
        <v>2.8571428571428598E-2</v>
      </c>
      <c r="AJ66" s="9">
        <v>1.1142857142857101</v>
      </c>
      <c r="AK66" s="9">
        <v>0.74285714285714299</v>
      </c>
      <c r="AL66" s="9">
        <v>3.22857142857143</v>
      </c>
      <c r="AM66" s="9">
        <v>4</v>
      </c>
      <c r="AN66" s="9">
        <v>7.7428571428571402</v>
      </c>
      <c r="AO66" s="9">
        <v>6.8857142857142897</v>
      </c>
      <c r="AP66" s="9">
        <v>1.6</v>
      </c>
      <c r="AQ66" s="9">
        <v>0.31137254901960798</v>
      </c>
      <c r="AR66" s="9">
        <v>4.5525490196078398</v>
      </c>
      <c r="AS66" s="9">
        <v>3.7494117647058798</v>
      </c>
      <c r="AT66" s="9">
        <v>9.1992156862744991</v>
      </c>
      <c r="AU66" s="9">
        <v>5.1094117647058797</v>
      </c>
      <c r="AV66" s="9">
        <v>7.64627450980392</v>
      </c>
      <c r="AW66" s="9">
        <v>1.2956862745097999</v>
      </c>
      <c r="AX66" s="9">
        <f t="shared" si="4"/>
        <v>10109.396326660461</v>
      </c>
      <c r="AY66" s="9">
        <f t="shared" si="5"/>
        <v>2922.8467803831109</v>
      </c>
      <c r="AZ66" s="9">
        <f t="shared" si="6"/>
        <v>3085.135472142088</v>
      </c>
      <c r="BA66" s="9">
        <f t="shared" si="7"/>
        <v>5501.9639872527978</v>
      </c>
      <c r="BB66" s="9">
        <f>SUM(AR66:AW66,AK66:AP66,AB66:AG66,S66:X66,L66:Q66)*1.05</f>
        <v>4607.4323394076637</v>
      </c>
      <c r="BC66" s="19"/>
      <c r="BD66" s="9">
        <v>4074.8</v>
      </c>
      <c r="BF66" s="252">
        <v>3597</v>
      </c>
      <c r="BH66" s="252">
        <v>1058</v>
      </c>
      <c r="BI66" s="252">
        <f t="shared" si="9"/>
        <v>1058</v>
      </c>
      <c r="BJ66" s="252">
        <f t="shared" si="23"/>
        <v>9433.4078242828309</v>
      </c>
      <c r="BK66" s="256">
        <f t="shared" si="21"/>
        <v>1058</v>
      </c>
      <c r="BP66" s="252">
        <v>75</v>
      </c>
      <c r="BQ66" s="252">
        <f t="shared" si="11"/>
        <v>75</v>
      </c>
      <c r="BR66" s="256">
        <f t="shared" si="12"/>
        <v>9433.4078242828309</v>
      </c>
      <c r="BS66" s="255">
        <f t="shared" si="22"/>
        <v>75</v>
      </c>
      <c r="BU66" s="252">
        <v>1078</v>
      </c>
      <c r="BW66" s="9">
        <v>144</v>
      </c>
      <c r="BX66" s="9">
        <v>732</v>
      </c>
      <c r="BY66" s="9">
        <v>823</v>
      </c>
      <c r="BZ66" s="9">
        <v>841</v>
      </c>
      <c r="CA66" s="9">
        <v>870</v>
      </c>
      <c r="CB66" s="9">
        <v>936</v>
      </c>
      <c r="CC66" s="9">
        <v>930</v>
      </c>
      <c r="CD66" s="9">
        <v>796</v>
      </c>
      <c r="CE66" s="9">
        <v>784</v>
      </c>
      <c r="CF66" s="9">
        <v>793</v>
      </c>
      <c r="CG66" s="9">
        <v>847</v>
      </c>
      <c r="CH66" s="9">
        <v>862</v>
      </c>
      <c r="CI66" s="9">
        <v>795</v>
      </c>
      <c r="CJ66" s="9">
        <v>737</v>
      </c>
      <c r="CK66" s="23">
        <f t="shared" si="13"/>
        <v>10394.551694677872</v>
      </c>
      <c r="CL66">
        <f t="shared" si="14"/>
        <v>2900</v>
      </c>
      <c r="CM66">
        <f t="shared" si="15"/>
        <v>3251.8697899159665</v>
      </c>
      <c r="CN66" s="23">
        <f t="shared" si="16"/>
        <v>5562.3564145658265</v>
      </c>
      <c r="CO66">
        <f t="shared" si="20"/>
        <v>4831.9381372549024</v>
      </c>
      <c r="CQ66" s="23">
        <f t="shared" si="18"/>
        <v>5928.3564145658265</v>
      </c>
      <c r="CR66" s="23">
        <f t="shared" si="19"/>
        <v>4831.9381372549024</v>
      </c>
    </row>
    <row r="67" spans="1:96" ht="29.25">
      <c r="A67" t="str">
        <f t="shared" si="0"/>
        <v>272</v>
      </c>
      <c r="B67">
        <f t="shared" si="3"/>
        <v>272</v>
      </c>
      <c r="C67" s="14" t="s">
        <v>74</v>
      </c>
      <c r="D67" s="11"/>
      <c r="E67" s="9">
        <f>SUM(251.402366863905*0.5)</f>
        <v>125.7011834319525</v>
      </c>
      <c r="F67" s="9">
        <v>293.06102085183801</v>
      </c>
      <c r="G67" s="9">
        <v>288.79475292369801</v>
      </c>
      <c r="H67" s="9">
        <v>285.26984472998902</v>
      </c>
      <c r="I67" s="9">
        <v>326.119734134792</v>
      </c>
      <c r="J67" s="9">
        <v>314.818807912811</v>
      </c>
      <c r="K67" s="9">
        <v>301.85991411224597</v>
      </c>
      <c r="L67" s="9">
        <v>303.79289940828397</v>
      </c>
      <c r="M67" s="9">
        <v>342.41715976331398</v>
      </c>
      <c r="N67" s="9">
        <v>343.50211218023901</v>
      </c>
      <c r="O67" s="9">
        <v>373.64424589973498</v>
      </c>
      <c r="P67" s="9">
        <v>307.34421495606801</v>
      </c>
      <c r="Q67" s="9">
        <v>275.65255468968297</v>
      </c>
      <c r="R67" s="9">
        <v>0</v>
      </c>
      <c r="S67" s="9">
        <v>0</v>
      </c>
      <c r="T67" s="9">
        <v>0</v>
      </c>
      <c r="U67" s="9">
        <v>12.409376470588199</v>
      </c>
      <c r="V67" s="9">
        <v>16.666294117647102</v>
      </c>
      <c r="W67" s="9">
        <v>22.890763398692801</v>
      </c>
      <c r="X67" s="9">
        <v>30.4430823529412</v>
      </c>
      <c r="Y67" s="9">
        <v>0</v>
      </c>
      <c r="Z67" s="9">
        <v>0</v>
      </c>
      <c r="AA67" s="9">
        <v>0</v>
      </c>
      <c r="AB67" s="9">
        <v>0</v>
      </c>
      <c r="AC67" s="9">
        <v>0</v>
      </c>
      <c r="AD67" s="9">
        <v>0</v>
      </c>
      <c r="AE67" s="9">
        <v>0</v>
      </c>
      <c r="AF67" s="9">
        <v>0</v>
      </c>
      <c r="AG67" s="9">
        <v>0</v>
      </c>
      <c r="AH67" s="9">
        <v>0</v>
      </c>
      <c r="AI67" s="9">
        <v>0</v>
      </c>
      <c r="AJ67" s="9">
        <v>0</v>
      </c>
      <c r="AK67" s="9">
        <v>0</v>
      </c>
      <c r="AL67" s="9">
        <v>0</v>
      </c>
      <c r="AM67" s="9">
        <v>0</v>
      </c>
      <c r="AN67" s="9">
        <v>0</v>
      </c>
      <c r="AO67" s="9">
        <v>0</v>
      </c>
      <c r="AP67" s="9">
        <v>0</v>
      </c>
      <c r="AQ67" s="9">
        <v>0.68627450980392202</v>
      </c>
      <c r="AR67" s="9">
        <v>6.2294117647058798</v>
      </c>
      <c r="AS67" s="9">
        <v>7.0901960784313696</v>
      </c>
      <c r="AT67" s="9">
        <v>20.364705882352901</v>
      </c>
      <c r="AU67" s="9">
        <v>24.705882352941199</v>
      </c>
      <c r="AV67" s="9">
        <v>15.9294117647059</v>
      </c>
      <c r="AW67" s="9">
        <v>1.3176470588235301</v>
      </c>
      <c r="AX67" s="9">
        <f t="shared" si="4"/>
        <v>4242.7470652835964</v>
      </c>
      <c r="AY67" s="9">
        <f t="shared" si="5"/>
        <v>1042.4681420343513</v>
      </c>
      <c r="AZ67" s="9">
        <f t="shared" si="6"/>
        <v>1517.113805680639</v>
      </c>
      <c r="BA67" s="9">
        <f t="shared" si="7"/>
        <v>2033.1271092374873</v>
      </c>
      <c r="BB67" s="9">
        <f t="shared" si="8"/>
        <v>2209.6199560461109</v>
      </c>
      <c r="BC67" s="19"/>
      <c r="BD67" s="9">
        <v>1673</v>
      </c>
      <c r="BF67" s="252">
        <v>1579</v>
      </c>
      <c r="BH67" s="252">
        <v>422</v>
      </c>
      <c r="BI67" s="252">
        <f t="shared" si="9"/>
        <v>422</v>
      </c>
      <c r="BJ67" s="252">
        <f t="shared" si="23"/>
        <v>3881.9784449946487</v>
      </c>
      <c r="BK67" s="256">
        <f t="shared" si="21"/>
        <v>422</v>
      </c>
      <c r="BP67" s="252">
        <v>5</v>
      </c>
      <c r="BQ67" s="252">
        <f t="shared" si="11"/>
        <v>5</v>
      </c>
      <c r="BR67" s="256">
        <f t="shared" si="12"/>
        <v>3881.9784449946487</v>
      </c>
      <c r="BS67" s="255">
        <f t="shared" si="22"/>
        <v>5</v>
      </c>
      <c r="BU67" s="252">
        <v>135</v>
      </c>
      <c r="BW67" s="9">
        <v>31</v>
      </c>
      <c r="BX67" s="9">
        <v>312</v>
      </c>
      <c r="BY67" s="9">
        <v>290</v>
      </c>
      <c r="BZ67" s="9">
        <v>319</v>
      </c>
      <c r="CA67" s="9">
        <v>323</v>
      </c>
      <c r="CB67" s="9">
        <v>295</v>
      </c>
      <c r="CC67" s="9">
        <v>351</v>
      </c>
      <c r="CD67" s="9">
        <v>342</v>
      </c>
      <c r="CE67" s="9">
        <v>339</v>
      </c>
      <c r="CF67" s="9">
        <v>344</v>
      </c>
      <c r="CG67" s="9">
        <v>387</v>
      </c>
      <c r="CH67" s="9">
        <v>375</v>
      </c>
      <c r="CI67" s="9">
        <v>419</v>
      </c>
      <c r="CJ67" s="9">
        <v>347</v>
      </c>
      <c r="CK67" s="23">
        <f t="shared" si="13"/>
        <v>4306.0808823529414</v>
      </c>
      <c r="CL67">
        <f t="shared" si="14"/>
        <v>1088</v>
      </c>
      <c r="CM67">
        <f t="shared" si="15"/>
        <v>1543.5794117647058</v>
      </c>
      <c r="CN67" s="23">
        <f t="shared" si="16"/>
        <v>2076.1715686274511</v>
      </c>
      <c r="CO67">
        <f t="shared" si="20"/>
        <v>2229.9093137254904</v>
      </c>
      <c r="CQ67" s="23">
        <f t="shared" si="18"/>
        <v>2232.1715686274511</v>
      </c>
      <c r="CR67" s="23">
        <f t="shared" si="19"/>
        <v>2229.9093137254904</v>
      </c>
    </row>
    <row r="68" spans="1:96" ht="29.25">
      <c r="A68" t="str">
        <f t="shared" ref="A68:A131" si="24">RIGHT(C68,3)</f>
        <v>273</v>
      </c>
      <c r="B68">
        <f t="shared" si="3"/>
        <v>273</v>
      </c>
      <c r="C68" s="14" t="s">
        <v>75</v>
      </c>
      <c r="D68" s="11"/>
      <c r="E68" s="9">
        <f>SUM(381.595308981161*0.5)</f>
        <v>190.7976544905805</v>
      </c>
      <c r="F68" s="9">
        <v>430.12130177514803</v>
      </c>
      <c r="G68" s="9">
        <v>438.61242603550301</v>
      </c>
      <c r="H68" s="9">
        <v>456.18639053254401</v>
      </c>
      <c r="I68" s="9">
        <v>424.73461495829798</v>
      </c>
      <c r="J68" s="9">
        <v>496.29289940828397</v>
      </c>
      <c r="K68" s="9">
        <v>403.11834319526599</v>
      </c>
      <c r="L68" s="9">
        <v>427.66568047337302</v>
      </c>
      <c r="M68" s="9">
        <v>416.08284023668602</v>
      </c>
      <c r="N68" s="9">
        <v>456.85672514619898</v>
      </c>
      <c r="O68" s="9">
        <v>314.09064327485402</v>
      </c>
      <c r="P68" s="9">
        <v>336.08187134502901</v>
      </c>
      <c r="Q68" s="9">
        <v>301.32748538011703</v>
      </c>
      <c r="R68" s="9">
        <v>0</v>
      </c>
      <c r="S68" s="9">
        <v>0</v>
      </c>
      <c r="T68" s="9">
        <v>0</v>
      </c>
      <c r="U68" s="9">
        <v>11.2821052631579</v>
      </c>
      <c r="V68" s="9">
        <v>27.415756725146199</v>
      </c>
      <c r="W68" s="9">
        <v>42.878134502923999</v>
      </c>
      <c r="X68" s="9">
        <v>71.243708453051198</v>
      </c>
      <c r="Y68" s="9">
        <v>0</v>
      </c>
      <c r="Z68" s="9">
        <v>0</v>
      </c>
      <c r="AA68" s="9">
        <v>0</v>
      </c>
      <c r="AB68" s="9">
        <v>0</v>
      </c>
      <c r="AC68" s="9">
        <v>0</v>
      </c>
      <c r="AD68" s="9">
        <v>0</v>
      </c>
      <c r="AE68" s="9">
        <v>0</v>
      </c>
      <c r="AF68" s="9">
        <v>0</v>
      </c>
      <c r="AG68" s="9">
        <v>0</v>
      </c>
      <c r="AH68" s="9">
        <v>0</v>
      </c>
      <c r="AI68" s="9">
        <v>0</v>
      </c>
      <c r="AJ68" s="9">
        <v>0</v>
      </c>
      <c r="AK68" s="9">
        <v>0</v>
      </c>
      <c r="AL68" s="9">
        <v>0</v>
      </c>
      <c r="AM68" s="9">
        <v>0</v>
      </c>
      <c r="AN68" s="9">
        <v>0</v>
      </c>
      <c r="AO68" s="9">
        <v>0</v>
      </c>
      <c r="AP68" s="9">
        <v>0</v>
      </c>
      <c r="AQ68" s="9">
        <v>13.122980392156901</v>
      </c>
      <c r="AR68" s="9">
        <v>14.212196078431401</v>
      </c>
      <c r="AS68" s="9">
        <v>10.109215686274499</v>
      </c>
      <c r="AT68" s="9">
        <v>0</v>
      </c>
      <c r="AU68" s="9">
        <v>26.423019607843099</v>
      </c>
      <c r="AV68" s="9">
        <v>12.6807450980392</v>
      </c>
      <c r="AW68" s="9">
        <v>23.064627450980399</v>
      </c>
      <c r="AX68" s="9">
        <f t="shared" si="4"/>
        <v>5611.6214337853798</v>
      </c>
      <c r="AY68" s="9">
        <f t="shared" si="5"/>
        <v>1591.5036614754645</v>
      </c>
      <c r="AZ68" s="9">
        <f t="shared" si="6"/>
        <v>1704.512063359708</v>
      </c>
      <c r="BA68" s="9">
        <f t="shared" si="7"/>
        <v>2995.6359413271693</v>
      </c>
      <c r="BB68" s="9">
        <f t="shared" si="8"/>
        <v>2615.9854924582119</v>
      </c>
      <c r="BC68" s="19"/>
      <c r="BD68" s="9">
        <v>2506</v>
      </c>
      <c r="BF68" s="252">
        <v>2256</v>
      </c>
      <c r="BH68" s="252">
        <v>621</v>
      </c>
      <c r="BI68" s="252">
        <f t="shared" si="9"/>
        <v>621</v>
      </c>
      <c r="BJ68" s="252">
        <f t="shared" si="23"/>
        <v>5091.9688762518808</v>
      </c>
      <c r="BK68" s="256">
        <f t="shared" ref="BK68:BK99" si="25">IFERROR(BH68*1,SUM(E68:Q68)*$BJ$179)</f>
        <v>621</v>
      </c>
      <c r="BP68" s="252">
        <v>45</v>
      </c>
      <c r="BQ68" s="252">
        <f t="shared" si="11"/>
        <v>45</v>
      </c>
      <c r="BR68" s="256">
        <f t="shared" si="12"/>
        <v>5091.9688762518808</v>
      </c>
      <c r="BS68" s="255">
        <f t="shared" ref="BS68:BS99" si="26">IFERROR(BP68*1,SUM(E68:Q68)*$BR$179)</f>
        <v>45</v>
      </c>
      <c r="BU68" s="252">
        <v>426</v>
      </c>
      <c r="BW68" s="9">
        <v>62</v>
      </c>
      <c r="BX68" s="9">
        <v>417</v>
      </c>
      <c r="BY68" s="9">
        <v>493</v>
      </c>
      <c r="BZ68" s="9">
        <v>456</v>
      </c>
      <c r="CA68" s="9">
        <v>488</v>
      </c>
      <c r="CB68" s="9">
        <v>494</v>
      </c>
      <c r="CC68" s="9">
        <v>471</v>
      </c>
      <c r="CD68" s="9">
        <v>518</v>
      </c>
      <c r="CE68" s="9">
        <v>451</v>
      </c>
      <c r="CF68" s="9">
        <v>463</v>
      </c>
      <c r="CG68" s="9">
        <v>456</v>
      </c>
      <c r="CH68" s="9">
        <v>496</v>
      </c>
      <c r="CI68" s="9">
        <v>398</v>
      </c>
      <c r="CJ68" s="9">
        <v>397</v>
      </c>
      <c r="CK68" s="23">
        <f t="shared" si="13"/>
        <v>5814.4031960784314</v>
      </c>
      <c r="CL68">
        <f t="shared" si="14"/>
        <v>1645.5</v>
      </c>
      <c r="CM68">
        <f t="shared" si="15"/>
        <v>1762.5420980392157</v>
      </c>
      <c r="CN68" s="23">
        <f t="shared" si="16"/>
        <v>3131.780745098039</v>
      </c>
      <c r="CO68">
        <f t="shared" si="20"/>
        <v>2682.6224509803919</v>
      </c>
      <c r="CQ68" s="23">
        <f t="shared" si="18"/>
        <v>3340.280745098039</v>
      </c>
      <c r="CR68" s="23">
        <f t="shared" si="19"/>
        <v>2682.6224509803919</v>
      </c>
    </row>
    <row r="69" spans="1:96" ht="29.25">
      <c r="A69" t="str">
        <f t="shared" si="24"/>
        <v>274</v>
      </c>
      <c r="B69">
        <f t="shared" ref="B69:B132" si="27">A69*1</f>
        <v>274</v>
      </c>
      <c r="C69" s="14" t="s">
        <v>76</v>
      </c>
      <c r="D69" s="11"/>
      <c r="E69" s="9">
        <f>SUM(5.08771929824561*0.5)</f>
        <v>2.5438596491228052</v>
      </c>
      <c r="F69" s="9">
        <v>13.8888888888889</v>
      </c>
      <c r="G69" s="9">
        <v>6.9678362573099397</v>
      </c>
      <c r="H69" s="9">
        <v>9.0701754385964897</v>
      </c>
      <c r="I69" s="9">
        <v>8.6111111111111107</v>
      </c>
      <c r="J69" s="9">
        <v>8.7368421052631593</v>
      </c>
      <c r="K69" s="9">
        <v>9.2076023391812907</v>
      </c>
      <c r="L69" s="9">
        <v>6.45029239766082</v>
      </c>
      <c r="M69" s="9">
        <v>15.7046783625731</v>
      </c>
      <c r="N69" s="9">
        <v>13.4678362573099</v>
      </c>
      <c r="O69" s="9">
        <v>8.6988304093567308</v>
      </c>
      <c r="P69" s="9">
        <v>8.0058479532163709</v>
      </c>
      <c r="Q69" s="9">
        <v>15.397660818713501</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9">
        <v>0</v>
      </c>
      <c r="AS69" s="9">
        <v>0</v>
      </c>
      <c r="AT69" s="9">
        <v>0</v>
      </c>
      <c r="AU69" s="9">
        <v>0</v>
      </c>
      <c r="AV69" s="9">
        <v>0</v>
      </c>
      <c r="AW69" s="9">
        <v>0</v>
      </c>
      <c r="AX69" s="9">
        <f t="shared" ref="AX69:AX132" si="28">SUM(E69:AW69)*1.05</f>
        <v>133.08903508771934</v>
      </c>
      <c r="AY69" s="9">
        <f t="shared" ref="AY69:AY132" si="29">SUM(E69:H69)*1.05</f>
        <v>34.094298245614041</v>
      </c>
      <c r="AZ69" s="9">
        <f t="shared" ref="AZ69:AZ132" si="30">SUM(AT69:AW69,AM69:AP69,AD69:AG69,U69:X69,N69:Q69)*1.05</f>
        <v>47.848684210526329</v>
      </c>
      <c r="BA69" s="9">
        <f t="shared" ref="BA69:BA132" si="31">SUM(E69,AQ69,AH69:AJ69,Y69:AA69,R69,F69:K69)*1.05</f>
        <v>61.977631578947381</v>
      </c>
      <c r="BB69" s="9">
        <f t="shared" ref="BB69:BB132" si="32">SUM(AR69:AW69,AK69:AP69,AB69:AG69,S69:X69,L69:Q69)*1.05</f>
        <v>71.111403508771957</v>
      </c>
      <c r="BC69" s="19"/>
      <c r="BD69" s="9">
        <v>73</v>
      </c>
      <c r="BF69" s="252">
        <v>69</v>
      </c>
      <c r="BH69" s="252">
        <v>23</v>
      </c>
      <c r="BI69" s="252">
        <f t="shared" ref="BI69:BI132" si="33">IFERROR(BH69*1,"")</f>
        <v>23</v>
      </c>
      <c r="BJ69" s="252">
        <f t="shared" si="23"/>
        <v>126.75146198830413</v>
      </c>
      <c r="BK69" s="256">
        <f t="shared" si="25"/>
        <v>23</v>
      </c>
      <c r="BP69" s="252">
        <v>0</v>
      </c>
      <c r="BQ69" s="252">
        <f t="shared" ref="BQ69:BQ132" si="34">IFERROR(BP69*1,"")</f>
        <v>0</v>
      </c>
      <c r="BR69" s="256">
        <f t="shared" ref="BR69:BR132" si="35">IFERROR(IF(BP69=BQ69,SUM(E69:Q69),""),"")</f>
        <v>126.75146198830413</v>
      </c>
      <c r="BS69" s="255">
        <f t="shared" si="26"/>
        <v>0</v>
      </c>
      <c r="BU69" s="252">
        <v>0</v>
      </c>
      <c r="BW69" s="9">
        <v>1</v>
      </c>
      <c r="BX69" s="9">
        <v>13</v>
      </c>
      <c r="BY69" s="9">
        <v>7</v>
      </c>
      <c r="BZ69" s="9">
        <v>15</v>
      </c>
      <c r="CA69" s="9">
        <v>7</v>
      </c>
      <c r="CB69" s="9">
        <v>10</v>
      </c>
      <c r="CC69" s="9">
        <v>10</v>
      </c>
      <c r="CD69" s="9">
        <v>12</v>
      </c>
      <c r="CE69" s="9">
        <v>9</v>
      </c>
      <c r="CF69" s="9">
        <v>5</v>
      </c>
      <c r="CG69" s="9">
        <v>18</v>
      </c>
      <c r="CH69" s="9">
        <v>14</v>
      </c>
      <c r="CI69" s="9">
        <v>12</v>
      </c>
      <c r="CJ69" s="9">
        <v>10</v>
      </c>
      <c r="CK69" s="23">
        <f t="shared" ref="CK69:CK132" si="36">SUM(BY69,BZ69,CA69,CB69,CC69,CD69,CE69,CF69,CG69,CH69,CI69,CJ69) + (BX69*0.5) + (SUM(AH69:AW69)*0.25)</f>
        <v>135.5</v>
      </c>
      <c r="CL69">
        <f t="shared" ref="CL69:CL132" si="37">SUM(BY69:CA69) +( BX69*0.5)</f>
        <v>35.5</v>
      </c>
      <c r="CM69">
        <f t="shared" ref="CM69:CM132" si="38">SUM(CG69:CJ69) + (SUM(AM69:AP69,AT69:AW69)*0.25)</f>
        <v>54</v>
      </c>
      <c r="CN69" s="23">
        <f t="shared" ref="CN69:CN132" si="39">SUM(BY69:CD69)+(BX69*0.5)+((AJ69+AQ69)*0.25)</f>
        <v>67.5</v>
      </c>
      <c r="CO69">
        <f t="shared" si="20"/>
        <v>100</v>
      </c>
      <c r="CQ69" s="23">
        <f t="shared" ref="CQ69:CQ132" si="40">SUM(BX69:CD69) + ((AJ69+AQ69)*0.25)</f>
        <v>74</v>
      </c>
      <c r="CR69" s="23">
        <f t="shared" ref="CR69:CR132" si="41">SUM(CE69:CJ69) + (SUM(AK69:AP69,AR69:AW69)*0.25)</f>
        <v>68</v>
      </c>
    </row>
    <row r="70" spans="1:96" ht="29.25">
      <c r="A70" t="str">
        <f t="shared" si="24"/>
        <v>281</v>
      </c>
      <c r="B70">
        <f t="shared" si="27"/>
        <v>281</v>
      </c>
      <c r="C70" s="14" t="s">
        <v>77</v>
      </c>
      <c r="D70" s="11"/>
      <c r="E70" s="9">
        <f>SUM(171.209302325581*0.5)</f>
        <v>85.604651162790503</v>
      </c>
      <c r="F70" s="9">
        <v>165.761627906977</v>
      </c>
      <c r="G70" s="9">
        <v>143.398255813953</v>
      </c>
      <c r="H70" s="9">
        <v>175.392441860465</v>
      </c>
      <c r="I70" s="9">
        <v>162.56395348837199</v>
      </c>
      <c r="J70" s="9">
        <v>160.68023255814001</v>
      </c>
      <c r="K70" s="9">
        <v>193.380813953488</v>
      </c>
      <c r="L70" s="9">
        <v>144.523255813953</v>
      </c>
      <c r="M70" s="9">
        <v>163.37209302325601</v>
      </c>
      <c r="N70" s="9">
        <v>177.14534883720901</v>
      </c>
      <c r="O70" s="9">
        <v>181.35465116279099</v>
      </c>
      <c r="P70" s="9">
        <v>194.648255813953</v>
      </c>
      <c r="Q70" s="9">
        <v>155.16279069767401</v>
      </c>
      <c r="R70" s="9">
        <v>0</v>
      </c>
      <c r="S70" s="9">
        <v>0</v>
      </c>
      <c r="T70" s="9">
        <v>0</v>
      </c>
      <c r="U70" s="9">
        <v>0</v>
      </c>
      <c r="V70" s="9">
        <v>1.9029225581395399</v>
      </c>
      <c r="W70" s="9">
        <v>4.9922065116279102</v>
      </c>
      <c r="X70" s="9">
        <v>9.2255186046511604</v>
      </c>
      <c r="Y70" s="9">
        <v>0</v>
      </c>
      <c r="Z70" s="9">
        <v>0</v>
      </c>
      <c r="AA70" s="9">
        <v>0</v>
      </c>
      <c r="AB70" s="9">
        <v>0</v>
      </c>
      <c r="AC70" s="9">
        <v>0</v>
      </c>
      <c r="AD70" s="9">
        <v>0</v>
      </c>
      <c r="AE70" s="9">
        <v>0</v>
      </c>
      <c r="AF70" s="9">
        <v>0</v>
      </c>
      <c r="AG70" s="9">
        <v>0</v>
      </c>
      <c r="AH70" s="9">
        <v>0</v>
      </c>
      <c r="AI70" s="9">
        <v>0</v>
      </c>
      <c r="AJ70" s="9">
        <v>0</v>
      </c>
      <c r="AK70" s="9">
        <v>0</v>
      </c>
      <c r="AL70" s="9">
        <v>0</v>
      </c>
      <c r="AM70" s="9">
        <v>0</v>
      </c>
      <c r="AN70" s="9">
        <v>0</v>
      </c>
      <c r="AO70" s="9">
        <v>0</v>
      </c>
      <c r="AP70" s="9">
        <v>0</v>
      </c>
      <c r="AQ70" s="9">
        <v>0</v>
      </c>
      <c r="AR70" s="9">
        <v>0</v>
      </c>
      <c r="AS70" s="9">
        <v>0</v>
      </c>
      <c r="AT70" s="9">
        <v>0</v>
      </c>
      <c r="AU70" s="9">
        <v>0</v>
      </c>
      <c r="AV70" s="9">
        <v>0</v>
      </c>
      <c r="AW70" s="9">
        <v>0</v>
      </c>
      <c r="AX70" s="9">
        <f t="shared" si="28"/>
        <v>2225.0644707558122</v>
      </c>
      <c r="AY70" s="9">
        <f t="shared" si="29"/>
        <v>598.66482558139478</v>
      </c>
      <c r="AZ70" s="9">
        <f t="shared" si="30"/>
        <v>760.65327889534797</v>
      </c>
      <c r="BA70" s="9">
        <f t="shared" si="31"/>
        <v>1141.121075581395</v>
      </c>
      <c r="BB70" s="9">
        <f t="shared" si="32"/>
        <v>1083.9433951744174</v>
      </c>
      <c r="BC70" s="19"/>
      <c r="BD70" s="9">
        <v>764</v>
      </c>
      <c r="BE70" s="9">
        <v>716</v>
      </c>
      <c r="BF70" s="252">
        <v>702</v>
      </c>
      <c r="BH70" s="252">
        <v>267</v>
      </c>
      <c r="BI70" s="252">
        <f t="shared" si="33"/>
        <v>267</v>
      </c>
      <c r="BJ70" s="252">
        <f t="shared" si="23"/>
        <v>2102.9883720930216</v>
      </c>
      <c r="BK70" s="256">
        <f t="shared" si="25"/>
        <v>267</v>
      </c>
      <c r="BP70" s="252">
        <v>76</v>
      </c>
      <c r="BQ70" s="252">
        <f t="shared" si="34"/>
        <v>76</v>
      </c>
      <c r="BR70" s="256">
        <f t="shared" si="35"/>
        <v>2102.9883720930216</v>
      </c>
      <c r="BS70" s="255">
        <f t="shared" si="26"/>
        <v>76</v>
      </c>
      <c r="BU70" s="252">
        <v>155</v>
      </c>
      <c r="BW70" s="9">
        <v>34</v>
      </c>
      <c r="BX70" s="9">
        <v>172</v>
      </c>
      <c r="BY70" s="9">
        <v>174</v>
      </c>
      <c r="BZ70" s="9">
        <v>167</v>
      </c>
      <c r="CA70" s="9">
        <v>143</v>
      </c>
      <c r="CB70" s="9">
        <v>175</v>
      </c>
      <c r="CC70" s="9">
        <v>172</v>
      </c>
      <c r="CD70" s="9">
        <v>181</v>
      </c>
      <c r="CE70" s="9">
        <v>194</v>
      </c>
      <c r="CF70" s="9">
        <v>163</v>
      </c>
      <c r="CG70" s="9">
        <v>198</v>
      </c>
      <c r="CH70" s="9">
        <v>181</v>
      </c>
      <c r="CI70" s="9">
        <v>200</v>
      </c>
      <c r="CJ70" s="9">
        <v>211</v>
      </c>
      <c r="CK70" s="23">
        <f t="shared" si="36"/>
        <v>2245</v>
      </c>
      <c r="CL70">
        <f t="shared" si="37"/>
        <v>570</v>
      </c>
      <c r="CM70">
        <f t="shared" si="38"/>
        <v>790</v>
      </c>
      <c r="CN70" s="23">
        <f t="shared" si="39"/>
        <v>1098</v>
      </c>
      <c r="CO70">
        <f t="shared" si="20"/>
        <v>1147</v>
      </c>
      <c r="CQ70" s="23">
        <f t="shared" si="40"/>
        <v>1184</v>
      </c>
      <c r="CR70" s="23">
        <f t="shared" si="41"/>
        <v>1147</v>
      </c>
    </row>
    <row r="71" spans="1:96" ht="29.25">
      <c r="A71" t="str">
        <f t="shared" si="24"/>
        <v>282</v>
      </c>
      <c r="B71">
        <f t="shared" si="27"/>
        <v>282</v>
      </c>
      <c r="C71" s="14" t="s">
        <v>78</v>
      </c>
      <c r="D71" s="11"/>
      <c r="E71" s="9">
        <f>SUM(22.4298780487805*0.5)</f>
        <v>11.214939024390249</v>
      </c>
      <c r="F71" s="9">
        <v>22.219512195122</v>
      </c>
      <c r="G71" s="9">
        <v>23.591463414634099</v>
      </c>
      <c r="H71" s="9">
        <v>23.631097560975601</v>
      </c>
      <c r="I71" s="9">
        <v>17.356707317073202</v>
      </c>
      <c r="J71" s="9">
        <v>17.246951219512201</v>
      </c>
      <c r="K71" s="9">
        <v>20.207317073170699</v>
      </c>
      <c r="L71" s="9">
        <v>23.381097560975601</v>
      </c>
      <c r="M71" s="9">
        <v>25.371951219512201</v>
      </c>
      <c r="N71" s="9">
        <v>23.887195121951201</v>
      </c>
      <c r="O71" s="9">
        <v>27.841463414634099</v>
      </c>
      <c r="P71" s="9">
        <v>21.484756097561</v>
      </c>
      <c r="Q71" s="9">
        <v>27.381987577639801</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0</v>
      </c>
      <c r="AM71" s="9">
        <v>0</v>
      </c>
      <c r="AN71" s="9">
        <v>0</v>
      </c>
      <c r="AO71" s="9">
        <v>0</v>
      </c>
      <c r="AP71" s="9">
        <v>0</v>
      </c>
      <c r="AQ71" s="9">
        <v>0</v>
      </c>
      <c r="AR71" s="9">
        <v>0</v>
      </c>
      <c r="AS71" s="9">
        <v>0</v>
      </c>
      <c r="AT71" s="9">
        <v>0</v>
      </c>
      <c r="AU71" s="9">
        <v>0</v>
      </c>
      <c r="AV71" s="9">
        <v>0</v>
      </c>
      <c r="AW71" s="9">
        <v>0</v>
      </c>
      <c r="AX71" s="9">
        <f t="shared" si="28"/>
        <v>299.05726073700953</v>
      </c>
      <c r="AY71" s="9">
        <f t="shared" si="29"/>
        <v>84.689862804878047</v>
      </c>
      <c r="AZ71" s="9">
        <f t="shared" si="30"/>
        <v>105.62517232237542</v>
      </c>
      <c r="BA71" s="9">
        <f t="shared" si="31"/>
        <v>142.24138719512194</v>
      </c>
      <c r="BB71" s="9">
        <f t="shared" si="32"/>
        <v>156.81587354188761</v>
      </c>
      <c r="BC71" s="19"/>
      <c r="BD71" s="9">
        <v>70</v>
      </c>
      <c r="BF71" s="252">
        <v>57</v>
      </c>
      <c r="BH71" s="252">
        <v>28</v>
      </c>
      <c r="BI71" s="252">
        <f t="shared" si="33"/>
        <v>28</v>
      </c>
      <c r="BJ71" s="252">
        <f t="shared" si="23"/>
        <v>284.81643879715193</v>
      </c>
      <c r="BK71" s="256">
        <f t="shared" si="25"/>
        <v>28</v>
      </c>
      <c r="BP71" s="252">
        <v>0</v>
      </c>
      <c r="BQ71" s="252">
        <f t="shared" si="34"/>
        <v>0</v>
      </c>
      <c r="BR71" s="256">
        <f t="shared" si="35"/>
        <v>284.81643879715193</v>
      </c>
      <c r="BS71" s="255">
        <f t="shared" si="26"/>
        <v>0</v>
      </c>
      <c r="BU71" s="252">
        <v>13</v>
      </c>
      <c r="BW71" s="9">
        <v>8</v>
      </c>
      <c r="BX71" s="9">
        <v>20</v>
      </c>
      <c r="BY71" s="9">
        <v>25</v>
      </c>
      <c r="BZ71" s="9">
        <v>19</v>
      </c>
      <c r="CA71" s="9">
        <v>25</v>
      </c>
      <c r="CB71" s="9">
        <v>22</v>
      </c>
      <c r="CC71" s="9">
        <v>17</v>
      </c>
      <c r="CD71" s="9">
        <v>17</v>
      </c>
      <c r="CE71" s="9">
        <v>22</v>
      </c>
      <c r="CF71" s="9">
        <v>22</v>
      </c>
      <c r="CG71" s="9">
        <v>24</v>
      </c>
      <c r="CH71" s="9">
        <v>26</v>
      </c>
      <c r="CI71" s="9">
        <v>31</v>
      </c>
      <c r="CJ71" s="9">
        <v>22</v>
      </c>
      <c r="CK71" s="23">
        <f t="shared" si="36"/>
        <v>282</v>
      </c>
      <c r="CL71">
        <f t="shared" si="37"/>
        <v>79</v>
      </c>
      <c r="CM71">
        <f t="shared" si="38"/>
        <v>103</v>
      </c>
      <c r="CN71" s="23">
        <f t="shared" si="39"/>
        <v>135</v>
      </c>
      <c r="CO71">
        <f t="shared" si="20"/>
        <v>147</v>
      </c>
      <c r="CQ71" s="23">
        <f t="shared" si="40"/>
        <v>145</v>
      </c>
      <c r="CR71" s="23">
        <f t="shared" si="41"/>
        <v>147</v>
      </c>
    </row>
    <row r="72" spans="1:96" ht="29.25">
      <c r="A72" t="str">
        <f t="shared" si="24"/>
        <v>283</v>
      </c>
      <c r="B72">
        <f t="shared" si="27"/>
        <v>283</v>
      </c>
      <c r="C72" s="14" t="s">
        <v>79</v>
      </c>
      <c r="D72" s="11"/>
      <c r="E72" s="9">
        <f>SUM(13.7616279069767*0.5)</f>
        <v>6.8808139534883503</v>
      </c>
      <c r="F72" s="9">
        <v>14.406976744186</v>
      </c>
      <c r="G72" s="9">
        <v>22.1279069767442</v>
      </c>
      <c r="H72" s="9">
        <v>13.895348837209299</v>
      </c>
      <c r="I72" s="9">
        <v>25.735465116279101</v>
      </c>
      <c r="J72" s="9">
        <v>22.6540697674419</v>
      </c>
      <c r="K72" s="9">
        <v>22.0959302325581</v>
      </c>
      <c r="L72" s="9">
        <v>18.7209302325581</v>
      </c>
      <c r="M72" s="9">
        <v>16.3459302325581</v>
      </c>
      <c r="N72" s="9">
        <v>10.2354651162791</v>
      </c>
      <c r="O72" s="9">
        <v>16.488372093023301</v>
      </c>
      <c r="P72" s="9">
        <v>7.5726744186046497</v>
      </c>
      <c r="Q72" s="9">
        <v>15.037790697674399</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9">
        <v>0</v>
      </c>
      <c r="AS72" s="9">
        <v>0</v>
      </c>
      <c r="AT72" s="9">
        <v>0</v>
      </c>
      <c r="AU72" s="9">
        <v>0</v>
      </c>
      <c r="AV72" s="9">
        <v>0</v>
      </c>
      <c r="AW72" s="9">
        <v>0</v>
      </c>
      <c r="AX72" s="9">
        <f t="shared" si="28"/>
        <v>222.80755813953488</v>
      </c>
      <c r="AY72" s="9">
        <f t="shared" si="29"/>
        <v>60.176598837209248</v>
      </c>
      <c r="AZ72" s="9">
        <f t="shared" si="30"/>
        <v>51.801017441860523</v>
      </c>
      <c r="BA72" s="9">
        <f t="shared" si="31"/>
        <v>134.18633720930231</v>
      </c>
      <c r="BB72" s="9">
        <f t="shared" si="32"/>
        <v>88.621220930232539</v>
      </c>
      <c r="BC72" s="19"/>
      <c r="BD72" s="9">
        <v>104</v>
      </c>
      <c r="BF72" s="252">
        <v>85</v>
      </c>
      <c r="BH72" s="252">
        <v>39</v>
      </c>
      <c r="BI72" s="252">
        <f t="shared" si="33"/>
        <v>39</v>
      </c>
      <c r="BJ72" s="252">
        <f t="shared" si="23"/>
        <v>212.19767441860463</v>
      </c>
      <c r="BK72" s="256">
        <f t="shared" si="25"/>
        <v>39</v>
      </c>
      <c r="BP72" s="252">
        <v>0</v>
      </c>
      <c r="BQ72" s="252">
        <f t="shared" si="34"/>
        <v>0</v>
      </c>
      <c r="BR72" s="256">
        <f t="shared" si="35"/>
        <v>212.19767441860463</v>
      </c>
      <c r="BS72" s="255">
        <f t="shared" si="26"/>
        <v>0</v>
      </c>
      <c r="BU72" s="252">
        <v>7</v>
      </c>
      <c r="BW72" s="9">
        <v>2</v>
      </c>
      <c r="BX72" s="9">
        <v>22</v>
      </c>
      <c r="BY72" s="9">
        <v>14</v>
      </c>
      <c r="BZ72" s="9">
        <v>18</v>
      </c>
      <c r="CA72" s="9">
        <v>19</v>
      </c>
      <c r="CB72" s="9">
        <v>16</v>
      </c>
      <c r="CC72" s="9">
        <v>26</v>
      </c>
      <c r="CD72" s="9">
        <v>24</v>
      </c>
      <c r="CE72" s="9">
        <v>25</v>
      </c>
      <c r="CF72" s="9">
        <v>18</v>
      </c>
      <c r="CG72" s="9">
        <v>19</v>
      </c>
      <c r="CH72" s="9">
        <v>10</v>
      </c>
      <c r="CI72" s="9">
        <v>18</v>
      </c>
      <c r="CJ72" s="9">
        <v>7</v>
      </c>
      <c r="CK72" s="23">
        <f t="shared" si="36"/>
        <v>225</v>
      </c>
      <c r="CL72">
        <f t="shared" si="37"/>
        <v>62</v>
      </c>
      <c r="CM72">
        <f t="shared" si="38"/>
        <v>54</v>
      </c>
      <c r="CN72" s="23">
        <f t="shared" si="39"/>
        <v>128</v>
      </c>
      <c r="CO72">
        <f t="shared" si="20"/>
        <v>100</v>
      </c>
      <c r="CQ72" s="23">
        <f t="shared" si="40"/>
        <v>139</v>
      </c>
      <c r="CR72" s="23">
        <f t="shared" si="41"/>
        <v>97</v>
      </c>
    </row>
    <row r="73" spans="1:96" ht="29.25">
      <c r="A73" t="str">
        <f t="shared" si="24"/>
        <v>285</v>
      </c>
      <c r="B73">
        <f t="shared" si="27"/>
        <v>285</v>
      </c>
      <c r="C73" s="14" t="s">
        <v>80</v>
      </c>
      <c r="D73" s="11"/>
      <c r="E73" s="9">
        <f>SUM(26.9329268292683*0.5)</f>
        <v>13.46646341463415</v>
      </c>
      <c r="F73" s="9">
        <v>34.307926829268297</v>
      </c>
      <c r="G73" s="9">
        <v>36.75</v>
      </c>
      <c r="H73" s="9">
        <v>31.094512195122</v>
      </c>
      <c r="I73" s="9">
        <v>28.490853658536601</v>
      </c>
      <c r="J73" s="9">
        <v>39.472560975609802</v>
      </c>
      <c r="K73" s="9">
        <v>32.655487804878</v>
      </c>
      <c r="L73" s="9">
        <v>37.783536585365901</v>
      </c>
      <c r="M73" s="9">
        <v>31.6768292682927</v>
      </c>
      <c r="N73" s="9">
        <v>27.466463414634099</v>
      </c>
      <c r="O73" s="9">
        <v>45.335365853658502</v>
      </c>
      <c r="P73" s="9">
        <v>23.365853658536601</v>
      </c>
      <c r="Q73" s="9">
        <v>22.5579268292683</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0</v>
      </c>
      <c r="AU73" s="9">
        <v>0</v>
      </c>
      <c r="AV73" s="9">
        <v>0</v>
      </c>
      <c r="AW73" s="9">
        <v>0</v>
      </c>
      <c r="AX73" s="9">
        <f t="shared" si="28"/>
        <v>424.64496951219525</v>
      </c>
      <c r="AY73" s="9">
        <f t="shared" si="29"/>
        <v>121.39984756097569</v>
      </c>
      <c r="AZ73" s="9">
        <f t="shared" si="30"/>
        <v>124.66189024390238</v>
      </c>
      <c r="BA73" s="9">
        <f t="shared" si="31"/>
        <v>227.04969512195129</v>
      </c>
      <c r="BB73" s="9">
        <f t="shared" si="32"/>
        <v>197.5952743902439</v>
      </c>
      <c r="BC73" s="19"/>
      <c r="BD73" s="9">
        <v>143</v>
      </c>
      <c r="BF73" s="252">
        <v>147</v>
      </c>
      <c r="BH73" s="252">
        <v>59</v>
      </c>
      <c r="BI73" s="252">
        <f t="shared" si="33"/>
        <v>59</v>
      </c>
      <c r="BJ73" s="252">
        <f t="shared" si="23"/>
        <v>404.423780487805</v>
      </c>
      <c r="BK73" s="256">
        <f t="shared" si="25"/>
        <v>59</v>
      </c>
      <c r="BP73" s="252">
        <v>0</v>
      </c>
      <c r="BQ73" s="252">
        <f t="shared" si="34"/>
        <v>0</v>
      </c>
      <c r="BR73" s="256">
        <f t="shared" si="35"/>
        <v>404.423780487805</v>
      </c>
      <c r="BS73" s="255">
        <f t="shared" si="26"/>
        <v>0</v>
      </c>
      <c r="BU73" s="252">
        <v>3</v>
      </c>
      <c r="BW73" s="9">
        <v>5</v>
      </c>
      <c r="BX73" s="9">
        <v>35</v>
      </c>
      <c r="BY73" s="9">
        <v>32</v>
      </c>
      <c r="BZ73" s="9">
        <v>35</v>
      </c>
      <c r="CA73" s="9">
        <v>39</v>
      </c>
      <c r="CB73" s="9">
        <v>36</v>
      </c>
      <c r="CC73" s="9">
        <v>30</v>
      </c>
      <c r="CD73" s="9">
        <v>42</v>
      </c>
      <c r="CE73" s="9">
        <v>35</v>
      </c>
      <c r="CF73" s="9">
        <v>41</v>
      </c>
      <c r="CG73" s="9">
        <v>33</v>
      </c>
      <c r="CH73" s="9">
        <v>28</v>
      </c>
      <c r="CI73" s="9">
        <v>50</v>
      </c>
      <c r="CJ73" s="9">
        <v>28</v>
      </c>
      <c r="CK73" s="23">
        <f t="shared" si="36"/>
        <v>446.5</v>
      </c>
      <c r="CL73">
        <f t="shared" si="37"/>
        <v>123.5</v>
      </c>
      <c r="CM73">
        <f t="shared" si="38"/>
        <v>139</v>
      </c>
      <c r="CN73" s="23">
        <f t="shared" si="39"/>
        <v>231.5</v>
      </c>
      <c r="CO73">
        <f t="shared" si="20"/>
        <v>215</v>
      </c>
      <c r="CQ73" s="23">
        <f t="shared" si="40"/>
        <v>249</v>
      </c>
      <c r="CR73" s="23">
        <f t="shared" si="41"/>
        <v>215</v>
      </c>
    </row>
    <row r="74" spans="1:96" ht="29.25">
      <c r="A74" t="str">
        <f t="shared" si="24"/>
        <v>287</v>
      </c>
      <c r="B74">
        <f t="shared" si="27"/>
        <v>287</v>
      </c>
      <c r="C74" s="14" t="s">
        <v>81</v>
      </c>
      <c r="D74" s="11"/>
      <c r="E74" s="9">
        <f>SUM(19.0710059171598*0.5)</f>
        <v>9.5355029585798992</v>
      </c>
      <c r="F74" s="9">
        <v>14.056213017751499</v>
      </c>
      <c r="G74" s="9">
        <v>16.931952662721901</v>
      </c>
      <c r="H74" s="9">
        <v>23.322485207100598</v>
      </c>
      <c r="I74" s="9">
        <v>15.249834037024399</v>
      </c>
      <c r="J74" s="9">
        <v>18.130177514792901</v>
      </c>
      <c r="K74" s="9">
        <v>14.4792899408284</v>
      </c>
      <c r="L74" s="9">
        <v>18.713017751479299</v>
      </c>
      <c r="M74" s="9">
        <v>22.3550295857988</v>
      </c>
      <c r="N74" s="9">
        <v>14.464497041420101</v>
      </c>
      <c r="O74" s="9">
        <v>27.834319526627201</v>
      </c>
      <c r="P74" s="9">
        <v>18.665680473372799</v>
      </c>
      <c r="Q74" s="9">
        <v>24.857988165680499</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9">
        <v>0</v>
      </c>
      <c r="AS74" s="9">
        <v>0</v>
      </c>
      <c r="AT74" s="9">
        <v>0</v>
      </c>
      <c r="AU74" s="9">
        <v>0</v>
      </c>
      <c r="AV74" s="9">
        <v>0</v>
      </c>
      <c r="AW74" s="9">
        <v>0</v>
      </c>
      <c r="AX74" s="9">
        <f t="shared" si="28"/>
        <v>250.5257872773372</v>
      </c>
      <c r="AY74" s="9">
        <f t="shared" si="29"/>
        <v>67.03846153846159</v>
      </c>
      <c r="AZ74" s="9">
        <f t="shared" si="30"/>
        <v>90.113609467455632</v>
      </c>
      <c r="BA74" s="9">
        <f t="shared" si="31"/>
        <v>117.29072810573957</v>
      </c>
      <c r="BB74" s="9">
        <f t="shared" si="32"/>
        <v>133.23505917159764</v>
      </c>
      <c r="BC74" s="19"/>
      <c r="BD74" s="9">
        <v>56</v>
      </c>
      <c r="BF74" s="252">
        <v>73</v>
      </c>
      <c r="BH74" s="252">
        <v>30</v>
      </c>
      <c r="BI74" s="252">
        <f t="shared" si="33"/>
        <v>30</v>
      </c>
      <c r="BJ74" s="252">
        <f t="shared" si="23"/>
        <v>238.59598788317828</v>
      </c>
      <c r="BK74" s="256">
        <f t="shared" si="25"/>
        <v>30</v>
      </c>
      <c r="BP74" s="252">
        <v>0</v>
      </c>
      <c r="BQ74" s="252">
        <f t="shared" si="34"/>
        <v>0</v>
      </c>
      <c r="BR74" s="256">
        <f t="shared" si="35"/>
        <v>238.59598788317828</v>
      </c>
      <c r="BS74" s="255">
        <f t="shared" si="26"/>
        <v>0</v>
      </c>
      <c r="BU74" s="252">
        <v>10</v>
      </c>
      <c r="BW74" s="9">
        <v>2</v>
      </c>
      <c r="BX74" s="9">
        <v>19</v>
      </c>
      <c r="BY74" s="9">
        <v>19</v>
      </c>
      <c r="BZ74" s="9">
        <v>17</v>
      </c>
      <c r="CA74" s="9">
        <v>22</v>
      </c>
      <c r="CB74" s="9">
        <v>25</v>
      </c>
      <c r="CC74" s="9">
        <v>15</v>
      </c>
      <c r="CD74" s="9">
        <v>23</v>
      </c>
      <c r="CE74" s="9">
        <v>24</v>
      </c>
      <c r="CF74" s="9">
        <v>20</v>
      </c>
      <c r="CG74" s="9">
        <v>29</v>
      </c>
      <c r="CH74" s="9">
        <v>16</v>
      </c>
      <c r="CI74" s="9">
        <v>26</v>
      </c>
      <c r="CJ74" s="9">
        <v>16</v>
      </c>
      <c r="CK74" s="23">
        <f t="shared" si="36"/>
        <v>261.5</v>
      </c>
      <c r="CL74">
        <f t="shared" si="37"/>
        <v>67.5</v>
      </c>
      <c r="CM74">
        <f t="shared" si="38"/>
        <v>87</v>
      </c>
      <c r="CN74" s="23">
        <f t="shared" si="39"/>
        <v>130.5</v>
      </c>
      <c r="CO74">
        <f t="shared" si="20"/>
        <v>131</v>
      </c>
      <c r="CQ74" s="23">
        <f t="shared" si="40"/>
        <v>140</v>
      </c>
      <c r="CR74" s="23">
        <f t="shared" si="41"/>
        <v>131</v>
      </c>
    </row>
    <row r="75" spans="1:96" ht="29.25">
      <c r="A75" t="str">
        <f t="shared" si="24"/>
        <v>288</v>
      </c>
      <c r="B75">
        <f t="shared" si="27"/>
        <v>288</v>
      </c>
      <c r="C75" s="14" t="s">
        <v>82</v>
      </c>
      <c r="D75" s="11"/>
      <c r="E75" s="9">
        <f>SUM(16.5901162790698*0.5)</f>
        <v>8.2950581395349001</v>
      </c>
      <c r="F75" s="9">
        <v>15.326589595375699</v>
      </c>
      <c r="G75" s="9">
        <v>16.789017341040498</v>
      </c>
      <c r="H75" s="9">
        <v>15.4595375722543</v>
      </c>
      <c r="I75" s="9">
        <v>21.393063583815</v>
      </c>
      <c r="J75" s="9">
        <v>12.2341040462428</v>
      </c>
      <c r="K75" s="9">
        <v>17.005780346820799</v>
      </c>
      <c r="L75" s="9">
        <v>21.572254335260101</v>
      </c>
      <c r="M75" s="9">
        <v>13.393063583815</v>
      </c>
      <c r="N75" s="9">
        <v>26.329479768786101</v>
      </c>
      <c r="O75" s="9">
        <v>15.283236994219701</v>
      </c>
      <c r="P75" s="9">
        <v>14.6531791907514</v>
      </c>
      <c r="Q75" s="9">
        <v>18.066473988439299</v>
      </c>
      <c r="R75" s="9">
        <v>0</v>
      </c>
      <c r="S75" s="9">
        <v>0</v>
      </c>
      <c r="T75" s="9">
        <v>0</v>
      </c>
      <c r="U75" s="9">
        <v>0</v>
      </c>
      <c r="V75" s="9">
        <v>0</v>
      </c>
      <c r="W75" s="9">
        <v>0</v>
      </c>
      <c r="X75" s="9">
        <v>0</v>
      </c>
      <c r="Y75" s="9">
        <v>0</v>
      </c>
      <c r="Z75" s="9">
        <v>0</v>
      </c>
      <c r="AA75" s="9">
        <v>0</v>
      </c>
      <c r="AB75" s="9">
        <v>0</v>
      </c>
      <c r="AC75" s="9">
        <v>0</v>
      </c>
      <c r="AD75" s="9">
        <v>0</v>
      </c>
      <c r="AE75" s="9">
        <v>0</v>
      </c>
      <c r="AF75" s="9">
        <v>0</v>
      </c>
      <c r="AG75" s="9">
        <v>0</v>
      </c>
      <c r="AH75" s="9">
        <v>0</v>
      </c>
      <c r="AI75" s="9">
        <v>0</v>
      </c>
      <c r="AJ75" s="9">
        <v>0</v>
      </c>
      <c r="AK75" s="9">
        <v>0</v>
      </c>
      <c r="AL75" s="9">
        <v>0</v>
      </c>
      <c r="AM75" s="9">
        <v>0</v>
      </c>
      <c r="AN75" s="9">
        <v>0</v>
      </c>
      <c r="AO75" s="9">
        <v>0</v>
      </c>
      <c r="AP75" s="9">
        <v>0</v>
      </c>
      <c r="AQ75" s="9">
        <v>0</v>
      </c>
      <c r="AR75" s="9">
        <v>0</v>
      </c>
      <c r="AS75" s="9">
        <v>0</v>
      </c>
      <c r="AT75" s="9">
        <v>0</v>
      </c>
      <c r="AU75" s="9">
        <v>0</v>
      </c>
      <c r="AV75" s="9">
        <v>0</v>
      </c>
      <c r="AW75" s="9">
        <v>0</v>
      </c>
      <c r="AX75" s="9">
        <f t="shared" si="28"/>
        <v>226.59088041067338</v>
      </c>
      <c r="AY75" s="9">
        <f t="shared" si="29"/>
        <v>58.663712780615668</v>
      </c>
      <c r="AZ75" s="9">
        <f t="shared" si="30"/>
        <v>78.048988439306328</v>
      </c>
      <c r="BA75" s="9">
        <f t="shared" si="31"/>
        <v>111.82830815633821</v>
      </c>
      <c r="BB75" s="9">
        <f t="shared" si="32"/>
        <v>114.7625722543352</v>
      </c>
      <c r="BC75" s="19"/>
      <c r="BD75" s="9">
        <v>109</v>
      </c>
      <c r="BF75" s="252">
        <v>119</v>
      </c>
      <c r="BH75" s="252">
        <v>33</v>
      </c>
      <c r="BI75" s="252">
        <f t="shared" si="33"/>
        <v>33</v>
      </c>
      <c r="BJ75" s="252">
        <f t="shared" si="23"/>
        <v>215.80083848635559</v>
      </c>
      <c r="BK75" s="256">
        <f t="shared" si="25"/>
        <v>33</v>
      </c>
      <c r="BP75" s="252">
        <v>0</v>
      </c>
      <c r="BQ75" s="252">
        <f t="shared" si="34"/>
        <v>0</v>
      </c>
      <c r="BR75" s="256">
        <f t="shared" si="35"/>
        <v>215.80083848635559</v>
      </c>
      <c r="BS75" s="255">
        <f t="shared" si="26"/>
        <v>0</v>
      </c>
      <c r="BU75" s="252">
        <v>8</v>
      </c>
      <c r="BW75" s="9">
        <v>0</v>
      </c>
      <c r="BX75" s="9">
        <v>17</v>
      </c>
      <c r="BY75" s="9">
        <v>18</v>
      </c>
      <c r="BZ75" s="9">
        <v>14</v>
      </c>
      <c r="CA75" s="9">
        <v>17</v>
      </c>
      <c r="CB75" s="9">
        <v>19</v>
      </c>
      <c r="CC75" s="9">
        <v>23</v>
      </c>
      <c r="CD75" s="9">
        <v>16</v>
      </c>
      <c r="CE75" s="9">
        <v>20</v>
      </c>
      <c r="CF75" s="9">
        <v>24</v>
      </c>
      <c r="CG75" s="9">
        <v>17</v>
      </c>
      <c r="CH75" s="9">
        <v>26</v>
      </c>
      <c r="CI75" s="9">
        <v>15</v>
      </c>
      <c r="CJ75" s="9">
        <v>15</v>
      </c>
      <c r="CK75" s="23">
        <f t="shared" si="36"/>
        <v>232.5</v>
      </c>
      <c r="CL75">
        <f t="shared" si="37"/>
        <v>57.5</v>
      </c>
      <c r="CM75">
        <f t="shared" si="38"/>
        <v>73</v>
      </c>
      <c r="CN75" s="23">
        <f t="shared" si="39"/>
        <v>115.5</v>
      </c>
      <c r="CO75">
        <f t="shared" si="20"/>
        <v>117</v>
      </c>
      <c r="CQ75" s="23">
        <f t="shared" si="40"/>
        <v>124</v>
      </c>
      <c r="CR75" s="23">
        <f t="shared" si="41"/>
        <v>117</v>
      </c>
    </row>
    <row r="76" spans="1:96" ht="29.25">
      <c r="A76" t="str">
        <f t="shared" si="24"/>
        <v>291</v>
      </c>
      <c r="B76">
        <f t="shared" si="27"/>
        <v>291</v>
      </c>
      <c r="C76" s="14" t="s">
        <v>83</v>
      </c>
      <c r="D76" s="11"/>
      <c r="E76" s="9">
        <f>SUM(55.3941605839416*0.5)</f>
        <v>27.697080291970799</v>
      </c>
      <c r="F76" s="9">
        <v>43.014492753623202</v>
      </c>
      <c r="G76" s="9">
        <v>64.195652173913004</v>
      </c>
      <c r="H76" s="9">
        <v>41.1086956521739</v>
      </c>
      <c r="I76" s="9">
        <v>50.547101449275402</v>
      </c>
      <c r="J76" s="9">
        <v>59.268115942028999</v>
      </c>
      <c r="K76" s="9">
        <v>52.741007194244602</v>
      </c>
      <c r="L76" s="9">
        <v>53.303571428571402</v>
      </c>
      <c r="M76" s="9">
        <v>55.404279443723901</v>
      </c>
      <c r="N76" s="9">
        <v>65.8642857142857</v>
      </c>
      <c r="O76" s="9">
        <v>60.996428571428602</v>
      </c>
      <c r="P76" s="9">
        <v>67.564285714285703</v>
      </c>
      <c r="Q76" s="9">
        <v>50.203571428571401</v>
      </c>
      <c r="R76" s="9">
        <v>0</v>
      </c>
      <c r="S76" s="9">
        <v>0</v>
      </c>
      <c r="T76" s="9">
        <v>0</v>
      </c>
      <c r="U76" s="9">
        <v>0.67343414634146304</v>
      </c>
      <c r="V76" s="9">
        <v>0.32532</v>
      </c>
      <c r="W76" s="9">
        <v>3.2596834285714298</v>
      </c>
      <c r="X76" s="9">
        <v>1.71089028571429</v>
      </c>
      <c r="Y76" s="9">
        <v>0</v>
      </c>
      <c r="Z76" s="9">
        <v>0</v>
      </c>
      <c r="AA76" s="9">
        <v>0</v>
      </c>
      <c r="AB76" s="9">
        <v>0</v>
      </c>
      <c r="AC76" s="9">
        <v>1</v>
      </c>
      <c r="AD76" s="9">
        <v>0.75</v>
      </c>
      <c r="AE76" s="9">
        <v>0.90909090909090895</v>
      </c>
      <c r="AF76" s="9">
        <v>0.63636363636363602</v>
      </c>
      <c r="AG76" s="9">
        <v>0.85</v>
      </c>
      <c r="AH76" s="9">
        <v>0</v>
      </c>
      <c r="AI76" s="9">
        <v>0</v>
      </c>
      <c r="AJ76" s="9">
        <v>0</v>
      </c>
      <c r="AK76" s="9">
        <v>0</v>
      </c>
      <c r="AL76" s="9">
        <v>0</v>
      </c>
      <c r="AM76" s="9">
        <v>0</v>
      </c>
      <c r="AN76" s="9">
        <v>0</v>
      </c>
      <c r="AO76" s="9">
        <v>0</v>
      </c>
      <c r="AP76" s="9">
        <v>0</v>
      </c>
      <c r="AQ76" s="9">
        <v>0</v>
      </c>
      <c r="AR76" s="9">
        <v>0</v>
      </c>
      <c r="AS76" s="9">
        <v>0</v>
      </c>
      <c r="AT76" s="9">
        <v>0</v>
      </c>
      <c r="AU76" s="9">
        <v>0</v>
      </c>
      <c r="AV76" s="9">
        <v>0</v>
      </c>
      <c r="AW76" s="9">
        <v>0</v>
      </c>
      <c r="AX76" s="9">
        <f t="shared" si="28"/>
        <v>737.12451767238736</v>
      </c>
      <c r="AY76" s="9">
        <f t="shared" si="29"/>
        <v>184.81671691526498</v>
      </c>
      <c r="AZ76" s="9">
        <f t="shared" si="30"/>
        <v>266.43052152638575</v>
      </c>
      <c r="BA76" s="9">
        <f t="shared" si="31"/>
        <v>355.50075273009139</v>
      </c>
      <c r="BB76" s="9">
        <f t="shared" si="32"/>
        <v>381.62376494229585</v>
      </c>
      <c r="BC76" s="19"/>
      <c r="BD76" s="9">
        <v>427</v>
      </c>
      <c r="BF76" s="252">
        <v>424</v>
      </c>
      <c r="BH76" s="252">
        <v>106</v>
      </c>
      <c r="BI76" s="252">
        <f t="shared" si="33"/>
        <v>106</v>
      </c>
      <c r="BJ76" s="252">
        <f t="shared" si="23"/>
        <v>691.90856775809664</v>
      </c>
      <c r="BK76" s="256">
        <f t="shared" si="25"/>
        <v>106</v>
      </c>
      <c r="BP76" s="252" t="s">
        <v>239</v>
      </c>
      <c r="BQ76" s="252" t="str">
        <f t="shared" si="34"/>
        <v/>
      </c>
      <c r="BR76" s="256" t="str">
        <f t="shared" si="35"/>
        <v/>
      </c>
      <c r="BS76" s="255">
        <f t="shared" si="26"/>
        <v>62.144396222798392</v>
      </c>
      <c r="BU76" s="252">
        <v>30</v>
      </c>
      <c r="BW76" s="9">
        <v>27</v>
      </c>
      <c r="BX76" s="9">
        <v>45</v>
      </c>
      <c r="BY76" s="9">
        <v>60</v>
      </c>
      <c r="BZ76" s="9">
        <v>47</v>
      </c>
      <c r="CA76" s="9">
        <v>66</v>
      </c>
      <c r="CB76" s="9">
        <v>44</v>
      </c>
      <c r="CC76" s="9">
        <v>53</v>
      </c>
      <c r="CD76" s="9">
        <v>63</v>
      </c>
      <c r="CE76" s="9">
        <v>60</v>
      </c>
      <c r="CF76" s="9">
        <v>59</v>
      </c>
      <c r="CG76" s="9">
        <v>71</v>
      </c>
      <c r="CH76" s="9">
        <v>71</v>
      </c>
      <c r="CI76" s="9">
        <v>65</v>
      </c>
      <c r="CJ76" s="9">
        <v>70</v>
      </c>
      <c r="CK76" s="23">
        <f t="shared" si="36"/>
        <v>751.5</v>
      </c>
      <c r="CL76">
        <f t="shared" si="37"/>
        <v>195.5</v>
      </c>
      <c r="CM76">
        <f t="shared" si="38"/>
        <v>277</v>
      </c>
      <c r="CN76" s="23">
        <f t="shared" si="39"/>
        <v>355.5</v>
      </c>
      <c r="CO76">
        <f t="shared" si="20"/>
        <v>396</v>
      </c>
      <c r="CQ76" s="23">
        <f t="shared" si="40"/>
        <v>378</v>
      </c>
      <c r="CR76" s="23">
        <f t="shared" si="41"/>
        <v>396</v>
      </c>
    </row>
    <row r="77" spans="1:96" ht="29.25">
      <c r="A77" t="str">
        <f t="shared" si="24"/>
        <v>292</v>
      </c>
      <c r="B77">
        <f t="shared" si="27"/>
        <v>292</v>
      </c>
      <c r="C77" s="14" t="s">
        <v>84</v>
      </c>
      <c r="D77" s="11"/>
      <c r="E77" s="9">
        <f>SUM(8.12676056338028*0.5)</f>
        <v>4.0633802816901401</v>
      </c>
      <c r="F77" s="9">
        <v>14.381118881118899</v>
      </c>
      <c r="G77" s="9">
        <v>8.8881118881118901</v>
      </c>
      <c r="H77" s="9">
        <v>12.290209790209801</v>
      </c>
      <c r="I77" s="9">
        <v>9.5489510489510501</v>
      </c>
      <c r="J77" s="9">
        <v>6.8811188811188799</v>
      </c>
      <c r="K77" s="9">
        <v>9.6958041958041896</v>
      </c>
      <c r="L77" s="9">
        <v>6.375</v>
      </c>
      <c r="M77" s="9">
        <v>0.96527777777777801</v>
      </c>
      <c r="N77" s="9">
        <v>9.7951388888888893</v>
      </c>
      <c r="O77" s="9">
        <v>3.1770833333333299</v>
      </c>
      <c r="P77" s="9">
        <v>3.25</v>
      </c>
      <c r="Q77" s="9">
        <v>4.7152777777777803</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f t="shared" si="28"/>
        <v>98.727796382021765</v>
      </c>
      <c r="AY77" s="9">
        <f t="shared" si="29"/>
        <v>41.603961883187267</v>
      </c>
      <c r="AZ77" s="9">
        <f t="shared" si="30"/>
        <v>21.984375</v>
      </c>
      <c r="BA77" s="9">
        <f t="shared" si="31"/>
        <v>69.036129715355102</v>
      </c>
      <c r="BB77" s="9">
        <f t="shared" si="32"/>
        <v>29.69166666666667</v>
      </c>
      <c r="BC77" s="19"/>
      <c r="BD77" s="9">
        <v>48</v>
      </c>
      <c r="BF77" s="252">
        <v>54</v>
      </c>
      <c r="BH77" s="252">
        <v>9</v>
      </c>
      <c r="BI77" s="252">
        <f t="shared" si="33"/>
        <v>9</v>
      </c>
      <c r="BJ77" s="252">
        <f t="shared" si="23"/>
        <v>94.026472744782623</v>
      </c>
      <c r="BK77" s="256">
        <f t="shared" si="25"/>
        <v>9</v>
      </c>
      <c r="BP77" s="252" t="s">
        <v>239</v>
      </c>
      <c r="BQ77" s="252" t="str">
        <f t="shared" si="34"/>
        <v/>
      </c>
      <c r="BR77" s="256" t="str">
        <f t="shared" si="35"/>
        <v/>
      </c>
      <c r="BS77" s="255">
        <f t="shared" si="26"/>
        <v>8.4450730197155419</v>
      </c>
      <c r="BU77" s="252">
        <v>0</v>
      </c>
      <c r="BW77" s="9">
        <v>0</v>
      </c>
      <c r="BX77" s="9">
        <v>5</v>
      </c>
      <c r="BY77" s="9">
        <v>8</v>
      </c>
      <c r="BZ77" s="9">
        <v>15</v>
      </c>
      <c r="CA77" s="9">
        <v>11</v>
      </c>
      <c r="CB77" s="9">
        <v>12</v>
      </c>
      <c r="CC77" s="9">
        <v>10</v>
      </c>
      <c r="CD77" s="9">
        <v>7</v>
      </c>
      <c r="CE77" s="9">
        <v>7</v>
      </c>
      <c r="CF77" s="9">
        <v>7</v>
      </c>
      <c r="CG77" s="9">
        <v>1</v>
      </c>
      <c r="CH77" s="9">
        <v>10</v>
      </c>
      <c r="CI77" s="9">
        <v>5</v>
      </c>
      <c r="CJ77" s="9">
        <v>4</v>
      </c>
      <c r="CK77" s="23">
        <f t="shared" si="36"/>
        <v>99.5</v>
      </c>
      <c r="CL77">
        <f t="shared" si="37"/>
        <v>36.5</v>
      </c>
      <c r="CM77">
        <f t="shared" si="38"/>
        <v>20</v>
      </c>
      <c r="CN77" s="23">
        <f t="shared" si="39"/>
        <v>65.5</v>
      </c>
      <c r="CO77">
        <f t="shared" si="20"/>
        <v>100</v>
      </c>
      <c r="CQ77" s="23">
        <f t="shared" si="40"/>
        <v>68</v>
      </c>
      <c r="CR77" s="23">
        <f t="shared" si="41"/>
        <v>34</v>
      </c>
    </row>
    <row r="78" spans="1:96" ht="29.25">
      <c r="A78" t="str">
        <f t="shared" si="24"/>
        <v>302</v>
      </c>
      <c r="B78">
        <f t="shared" si="27"/>
        <v>302</v>
      </c>
      <c r="C78" s="14" t="s">
        <v>85</v>
      </c>
      <c r="D78" s="11"/>
      <c r="E78" s="9">
        <f>SUM(9.85567010309278*0.5)</f>
        <v>4.9278350515463902</v>
      </c>
      <c r="F78" s="9">
        <v>8.8165680473372792</v>
      </c>
      <c r="G78" s="9">
        <v>15.313609467455599</v>
      </c>
      <c r="H78" s="9">
        <v>9.1360946745562099</v>
      </c>
      <c r="I78" s="9">
        <v>11.1005917159763</v>
      </c>
      <c r="J78" s="9">
        <v>12.568047337278101</v>
      </c>
      <c r="K78" s="9">
        <v>13.4289940828402</v>
      </c>
      <c r="L78" s="9">
        <v>9.1117647058823508</v>
      </c>
      <c r="M78" s="9">
        <v>9.5911764705882394</v>
      </c>
      <c r="N78" s="9">
        <v>8.9117647058823497</v>
      </c>
      <c r="O78" s="9">
        <v>9.8676470588235308</v>
      </c>
      <c r="P78" s="9">
        <v>8.1058823529411796</v>
      </c>
      <c r="Q78" s="9">
        <v>10.888235294117599</v>
      </c>
      <c r="R78" s="9">
        <v>0</v>
      </c>
      <c r="S78" s="9">
        <v>0</v>
      </c>
      <c r="T78" s="9">
        <v>0</v>
      </c>
      <c r="U78" s="9">
        <v>0</v>
      </c>
      <c r="V78" s="9">
        <v>0</v>
      </c>
      <c r="W78" s="9">
        <v>0</v>
      </c>
      <c r="X78" s="9">
        <v>0</v>
      </c>
      <c r="Y78" s="9">
        <v>0</v>
      </c>
      <c r="Z78" s="9">
        <v>0</v>
      </c>
      <c r="AA78" s="9">
        <v>0</v>
      </c>
      <c r="AB78" s="9">
        <v>0</v>
      </c>
      <c r="AC78" s="9">
        <v>0</v>
      </c>
      <c r="AD78" s="9">
        <v>0</v>
      </c>
      <c r="AE78" s="9">
        <v>0</v>
      </c>
      <c r="AF78" s="9">
        <v>0</v>
      </c>
      <c r="AG78" s="9">
        <v>0</v>
      </c>
      <c r="AH78" s="9">
        <v>0</v>
      </c>
      <c r="AI78" s="9">
        <v>0</v>
      </c>
      <c r="AJ78" s="9">
        <v>0</v>
      </c>
      <c r="AK78" s="9">
        <v>0</v>
      </c>
      <c r="AL78" s="9">
        <v>0</v>
      </c>
      <c r="AM78" s="9">
        <v>0</v>
      </c>
      <c r="AN78" s="9">
        <v>0</v>
      </c>
      <c r="AO78" s="9">
        <v>0</v>
      </c>
      <c r="AP78" s="9">
        <v>0</v>
      </c>
      <c r="AQ78" s="9">
        <v>0</v>
      </c>
      <c r="AR78" s="9">
        <v>0</v>
      </c>
      <c r="AS78" s="9">
        <v>0</v>
      </c>
      <c r="AT78" s="9">
        <v>0</v>
      </c>
      <c r="AU78" s="9">
        <v>0</v>
      </c>
      <c r="AV78" s="9">
        <v>0</v>
      </c>
      <c r="AW78" s="9">
        <v>0</v>
      </c>
      <c r="AX78" s="9">
        <f t="shared" si="28"/>
        <v>138.3566215134866</v>
      </c>
      <c r="AY78" s="9">
        <f t="shared" si="29"/>
        <v>40.103812602940252</v>
      </c>
      <c r="AZ78" s="9">
        <f t="shared" si="30"/>
        <v>39.662205882352893</v>
      </c>
      <c r="BA78" s="9">
        <f t="shared" si="31"/>
        <v>79.056327395839588</v>
      </c>
      <c r="BB78" s="9">
        <f t="shared" si="32"/>
        <v>59.300294117647006</v>
      </c>
      <c r="BC78" s="19"/>
      <c r="BD78" s="9">
        <v>68</v>
      </c>
      <c r="BF78" s="252">
        <v>58</v>
      </c>
      <c r="BH78" s="252">
        <v>12</v>
      </c>
      <c r="BI78" s="252">
        <f t="shared" si="33"/>
        <v>12</v>
      </c>
      <c r="BJ78" s="252">
        <f t="shared" si="23"/>
        <v>131.76821096522534</v>
      </c>
      <c r="BK78" s="256">
        <f t="shared" si="25"/>
        <v>12</v>
      </c>
      <c r="BP78" s="252">
        <v>0</v>
      </c>
      <c r="BQ78" s="252">
        <f t="shared" si="34"/>
        <v>0</v>
      </c>
      <c r="BR78" s="256">
        <f t="shared" si="35"/>
        <v>131.76821096522534</v>
      </c>
      <c r="BS78" s="255">
        <f t="shared" si="26"/>
        <v>0</v>
      </c>
      <c r="BU78" s="252">
        <v>0</v>
      </c>
      <c r="BW78" s="9">
        <v>1</v>
      </c>
      <c r="BX78" s="9">
        <v>16</v>
      </c>
      <c r="BY78" s="9">
        <v>9</v>
      </c>
      <c r="BZ78" s="9">
        <v>10</v>
      </c>
      <c r="CA78" s="9">
        <v>14</v>
      </c>
      <c r="CB78" s="9">
        <v>8</v>
      </c>
      <c r="CC78" s="9">
        <v>12</v>
      </c>
      <c r="CD78" s="9">
        <v>12</v>
      </c>
      <c r="CE78" s="9">
        <v>14</v>
      </c>
      <c r="CF78" s="9">
        <v>11</v>
      </c>
      <c r="CG78" s="9">
        <v>11</v>
      </c>
      <c r="CH78" s="9">
        <v>9</v>
      </c>
      <c r="CI78" s="9">
        <v>11</v>
      </c>
      <c r="CJ78" s="9">
        <v>8</v>
      </c>
      <c r="CK78" s="23">
        <f t="shared" si="36"/>
        <v>137</v>
      </c>
      <c r="CL78">
        <f t="shared" si="37"/>
        <v>41</v>
      </c>
      <c r="CM78">
        <f t="shared" si="38"/>
        <v>39</v>
      </c>
      <c r="CN78" s="23">
        <f t="shared" si="39"/>
        <v>73</v>
      </c>
      <c r="CO78">
        <f t="shared" si="20"/>
        <v>100</v>
      </c>
      <c r="CQ78" s="23">
        <f t="shared" si="40"/>
        <v>81</v>
      </c>
      <c r="CR78" s="23">
        <f t="shared" si="41"/>
        <v>64</v>
      </c>
    </row>
    <row r="79" spans="1:96" ht="29.25">
      <c r="A79" t="str">
        <f t="shared" si="24"/>
        <v>304</v>
      </c>
      <c r="B79">
        <f t="shared" si="27"/>
        <v>304</v>
      </c>
      <c r="C79" s="14" t="s">
        <v>86</v>
      </c>
      <c r="D79" s="11"/>
      <c r="E79" s="9">
        <f>SUM(27.7873563218391*0.5)</f>
        <v>13.893678160919549</v>
      </c>
      <c r="F79" s="9">
        <v>29.8247126436782</v>
      </c>
      <c r="G79" s="9">
        <v>30.683908045976999</v>
      </c>
      <c r="H79" s="9">
        <v>29.528735632183899</v>
      </c>
      <c r="I79" s="9">
        <v>24.580459770114899</v>
      </c>
      <c r="J79" s="9">
        <v>29.528735632183899</v>
      </c>
      <c r="K79" s="9">
        <v>41.942528735632202</v>
      </c>
      <c r="L79" s="9">
        <v>26.816091954023001</v>
      </c>
      <c r="M79" s="9">
        <v>38.477011494252899</v>
      </c>
      <c r="N79" s="9">
        <v>34.862068965517203</v>
      </c>
      <c r="O79" s="9">
        <v>30.7183908045977</v>
      </c>
      <c r="P79" s="9">
        <v>30.732758620689701</v>
      </c>
      <c r="Q79" s="9">
        <v>20.919540229885101</v>
      </c>
      <c r="R79" s="9">
        <v>0</v>
      </c>
      <c r="S79" s="9">
        <v>0</v>
      </c>
      <c r="T79" s="9">
        <v>0</v>
      </c>
      <c r="U79" s="9">
        <v>0</v>
      </c>
      <c r="V79" s="9">
        <v>0</v>
      </c>
      <c r="W79" s="9">
        <v>0</v>
      </c>
      <c r="X79" s="9">
        <v>0</v>
      </c>
      <c r="Y79" s="9">
        <v>0</v>
      </c>
      <c r="Z79" s="9">
        <v>0</v>
      </c>
      <c r="AA79" s="9">
        <v>0</v>
      </c>
      <c r="AB79" s="9">
        <v>0</v>
      </c>
      <c r="AC79" s="9">
        <v>0</v>
      </c>
      <c r="AD79" s="9">
        <v>0</v>
      </c>
      <c r="AE79" s="9">
        <v>0</v>
      </c>
      <c r="AF79" s="9">
        <v>0</v>
      </c>
      <c r="AG79" s="9">
        <v>0</v>
      </c>
      <c r="AH79" s="9">
        <v>0</v>
      </c>
      <c r="AI79" s="9">
        <v>0</v>
      </c>
      <c r="AJ79" s="9">
        <v>0</v>
      </c>
      <c r="AK79" s="9">
        <v>0</v>
      </c>
      <c r="AL79" s="9">
        <v>0</v>
      </c>
      <c r="AM79" s="9">
        <v>0</v>
      </c>
      <c r="AN79" s="9">
        <v>0</v>
      </c>
      <c r="AO79" s="9">
        <v>0</v>
      </c>
      <c r="AP79" s="9">
        <v>0</v>
      </c>
      <c r="AQ79" s="9">
        <v>0</v>
      </c>
      <c r="AR79" s="9">
        <v>0</v>
      </c>
      <c r="AS79" s="9">
        <v>0</v>
      </c>
      <c r="AT79" s="9">
        <v>0</v>
      </c>
      <c r="AU79" s="9">
        <v>0</v>
      </c>
      <c r="AV79" s="9">
        <v>0</v>
      </c>
      <c r="AW79" s="9">
        <v>0</v>
      </c>
      <c r="AX79" s="9">
        <f t="shared" si="28"/>
        <v>401.63405172413803</v>
      </c>
      <c r="AY79" s="9">
        <f t="shared" si="29"/>
        <v>109.12758620689657</v>
      </c>
      <c r="AZ79" s="9">
        <f t="shared" si="30"/>
        <v>123.09439655172419</v>
      </c>
      <c r="BA79" s="9">
        <f t="shared" si="31"/>
        <v>209.98189655172413</v>
      </c>
      <c r="BB79" s="9">
        <f t="shared" si="32"/>
        <v>191.65215517241393</v>
      </c>
      <c r="BC79" s="19"/>
      <c r="BD79" s="9">
        <v>279.60000000000002</v>
      </c>
      <c r="BF79" s="257">
        <v>180.16</v>
      </c>
      <c r="BH79" s="252">
        <v>76</v>
      </c>
      <c r="BI79" s="252">
        <f t="shared" si="33"/>
        <v>76</v>
      </c>
      <c r="BJ79" s="252">
        <f t="shared" si="23"/>
        <v>382.50862068965523</v>
      </c>
      <c r="BK79" s="256">
        <f t="shared" si="25"/>
        <v>76</v>
      </c>
      <c r="BP79" s="252" t="s">
        <v>239</v>
      </c>
      <c r="BQ79" s="252" t="str">
        <f t="shared" si="34"/>
        <v/>
      </c>
      <c r="BR79" s="256" t="str">
        <f t="shared" si="35"/>
        <v/>
      </c>
      <c r="BS79" s="255">
        <f t="shared" si="26"/>
        <v>34.355359061090148</v>
      </c>
      <c r="BU79" s="252">
        <v>0</v>
      </c>
      <c r="BW79" s="9">
        <v>3</v>
      </c>
      <c r="BX79" s="9">
        <v>24</v>
      </c>
      <c r="BY79" s="9">
        <v>25</v>
      </c>
      <c r="BZ79" s="9">
        <v>30</v>
      </c>
      <c r="CA79" s="9">
        <v>28</v>
      </c>
      <c r="CB79" s="9">
        <v>29</v>
      </c>
      <c r="CC79" s="9">
        <v>31</v>
      </c>
      <c r="CD79" s="9">
        <v>31</v>
      </c>
      <c r="CE79" s="9">
        <v>41</v>
      </c>
      <c r="CF79" s="9">
        <v>33</v>
      </c>
      <c r="CG79" s="9">
        <v>44</v>
      </c>
      <c r="CH79" s="9">
        <v>39</v>
      </c>
      <c r="CI79" s="9">
        <v>35</v>
      </c>
      <c r="CJ79" s="9">
        <v>29</v>
      </c>
      <c r="CK79" s="23">
        <f t="shared" si="36"/>
        <v>407</v>
      </c>
      <c r="CL79">
        <f t="shared" si="37"/>
        <v>95</v>
      </c>
      <c r="CM79">
        <f t="shared" si="38"/>
        <v>147</v>
      </c>
      <c r="CN79" s="23">
        <f t="shared" si="39"/>
        <v>186</v>
      </c>
      <c r="CO79">
        <f t="shared" si="20"/>
        <v>221</v>
      </c>
      <c r="CQ79" s="23">
        <f t="shared" si="40"/>
        <v>198</v>
      </c>
      <c r="CR79" s="23">
        <f t="shared" si="41"/>
        <v>221</v>
      </c>
    </row>
    <row r="80" spans="1:96" ht="29.25">
      <c r="A80" t="str">
        <f t="shared" si="24"/>
        <v>305</v>
      </c>
      <c r="B80">
        <f t="shared" si="27"/>
        <v>305</v>
      </c>
      <c r="C80" s="14" t="s">
        <v>87</v>
      </c>
      <c r="D80" s="11"/>
      <c r="E80" s="9">
        <f>SUM(14.9719626168224*0.5)</f>
        <v>7.4859813084112004</v>
      </c>
      <c r="F80" s="9">
        <v>10.1909722222222</v>
      </c>
      <c r="G80" s="9">
        <v>10.6319444444444</v>
      </c>
      <c r="H80" s="9">
        <v>12.4513888888889</v>
      </c>
      <c r="I80" s="9">
        <v>15.3784722222222</v>
      </c>
      <c r="J80" s="9">
        <v>7.9270833333333304</v>
      </c>
      <c r="K80" s="9">
        <v>18.6215277777778</v>
      </c>
      <c r="L80" s="9">
        <v>11.6770833333333</v>
      </c>
      <c r="M80" s="9">
        <v>17.0902777777778</v>
      </c>
      <c r="N80" s="9">
        <v>11.4583333333333</v>
      </c>
      <c r="O80" s="9">
        <v>14.9652777777778</v>
      </c>
      <c r="P80" s="9">
        <v>12.2916666666667</v>
      </c>
      <c r="Q80" s="9">
        <v>10.0451388888889</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v>0</v>
      </c>
      <c r="AJ80" s="9">
        <v>0</v>
      </c>
      <c r="AK80" s="9">
        <v>0</v>
      </c>
      <c r="AL80" s="9">
        <v>0</v>
      </c>
      <c r="AM80" s="9">
        <v>0</v>
      </c>
      <c r="AN80" s="9">
        <v>0</v>
      </c>
      <c r="AO80" s="9">
        <v>0</v>
      </c>
      <c r="AP80" s="9">
        <v>0</v>
      </c>
      <c r="AQ80" s="9">
        <v>0</v>
      </c>
      <c r="AR80" s="9">
        <v>0</v>
      </c>
      <c r="AS80" s="9">
        <v>0</v>
      </c>
      <c r="AT80" s="9">
        <v>0</v>
      </c>
      <c r="AU80" s="9">
        <v>0</v>
      </c>
      <c r="AV80" s="9">
        <v>0</v>
      </c>
      <c r="AW80" s="9">
        <v>0</v>
      </c>
      <c r="AX80" s="9">
        <f t="shared" si="28"/>
        <v>168.22590537383175</v>
      </c>
      <c r="AY80" s="9">
        <f t="shared" si="29"/>
        <v>42.798301207165032</v>
      </c>
      <c r="AZ80" s="9">
        <f t="shared" si="30"/>
        <v>51.19843750000004</v>
      </c>
      <c r="BA80" s="9">
        <f t="shared" si="31"/>
        <v>86.821738707165025</v>
      </c>
      <c r="BB80" s="9">
        <f t="shared" si="32"/>
        <v>81.404166666666697</v>
      </c>
      <c r="BC80" s="19"/>
      <c r="BD80" s="9">
        <v>89</v>
      </c>
      <c r="BF80" s="252">
        <v>92</v>
      </c>
      <c r="BH80" s="252">
        <v>23</v>
      </c>
      <c r="BI80" s="252">
        <f t="shared" si="33"/>
        <v>23</v>
      </c>
      <c r="BJ80" s="252">
        <f t="shared" si="23"/>
        <v>160.21514797507785</v>
      </c>
      <c r="BK80" s="256">
        <f t="shared" si="25"/>
        <v>23</v>
      </c>
      <c r="BP80" s="252">
        <v>0</v>
      </c>
      <c r="BQ80" s="252">
        <f t="shared" si="34"/>
        <v>0</v>
      </c>
      <c r="BR80" s="256">
        <f t="shared" si="35"/>
        <v>160.21514797507785</v>
      </c>
      <c r="BS80" s="255">
        <f t="shared" si="26"/>
        <v>0</v>
      </c>
      <c r="BU80" s="252">
        <v>2</v>
      </c>
      <c r="BW80" s="9">
        <v>1</v>
      </c>
      <c r="BX80" s="9">
        <v>22</v>
      </c>
      <c r="BY80" s="9">
        <v>17</v>
      </c>
      <c r="BZ80" s="9">
        <v>6</v>
      </c>
      <c r="CA80" s="9">
        <v>12</v>
      </c>
      <c r="CB80" s="9">
        <v>11</v>
      </c>
      <c r="CC80" s="9">
        <v>16</v>
      </c>
      <c r="CD80" s="9">
        <v>11</v>
      </c>
      <c r="CE80" s="9">
        <v>16</v>
      </c>
      <c r="CF80" s="9">
        <v>8</v>
      </c>
      <c r="CG80" s="9">
        <v>17</v>
      </c>
      <c r="CH80" s="9">
        <v>9</v>
      </c>
      <c r="CI80" s="9">
        <v>13</v>
      </c>
      <c r="CJ80" s="9">
        <v>12</v>
      </c>
      <c r="CK80" s="23">
        <f t="shared" si="36"/>
        <v>159</v>
      </c>
      <c r="CL80">
        <f t="shared" si="37"/>
        <v>46</v>
      </c>
      <c r="CM80">
        <f t="shared" si="38"/>
        <v>51</v>
      </c>
      <c r="CN80" s="23">
        <f t="shared" si="39"/>
        <v>84</v>
      </c>
      <c r="CO80">
        <f t="shared" si="20"/>
        <v>100</v>
      </c>
      <c r="CQ80" s="23">
        <f t="shared" si="40"/>
        <v>95</v>
      </c>
      <c r="CR80" s="23">
        <f t="shared" si="41"/>
        <v>75</v>
      </c>
    </row>
    <row r="81" spans="1:96" ht="29.25">
      <c r="A81" t="str">
        <f t="shared" si="24"/>
        <v>312</v>
      </c>
      <c r="B81">
        <f t="shared" si="27"/>
        <v>312</v>
      </c>
      <c r="C81" s="14" t="s">
        <v>88</v>
      </c>
      <c r="D81" s="11"/>
      <c r="E81" s="9">
        <f>SUM(35.7440273037543*0.5)</f>
        <v>17.87201365187715</v>
      </c>
      <c r="F81" s="9">
        <v>38.723549488054601</v>
      </c>
      <c r="G81" s="9">
        <v>38.081911262798599</v>
      </c>
      <c r="H81" s="9">
        <v>40.546075085324198</v>
      </c>
      <c r="I81" s="9">
        <v>41.092150170648502</v>
      </c>
      <c r="J81" s="9">
        <v>38.955631399317397</v>
      </c>
      <c r="K81" s="9">
        <v>39.505119453924898</v>
      </c>
      <c r="L81" s="9">
        <v>35.1945392491468</v>
      </c>
      <c r="M81" s="9">
        <v>44.1945392491468</v>
      </c>
      <c r="N81" s="9">
        <v>25.959044368600701</v>
      </c>
      <c r="O81" s="9">
        <v>36.535836177474401</v>
      </c>
      <c r="P81" s="9">
        <v>31.1945392491468</v>
      </c>
      <c r="Q81" s="9">
        <v>36.153583617747401</v>
      </c>
      <c r="R81" s="9">
        <v>0</v>
      </c>
      <c r="S81" s="9">
        <v>0</v>
      </c>
      <c r="T81" s="9">
        <v>0</v>
      </c>
      <c r="U81" s="9">
        <v>1.8213251282051299</v>
      </c>
      <c r="V81" s="9">
        <v>4.8100251590105998</v>
      </c>
      <c r="W81" s="9">
        <v>6.4405167491166102</v>
      </c>
      <c r="X81" s="9">
        <v>3.4467437455830399</v>
      </c>
      <c r="Y81" s="9">
        <v>0</v>
      </c>
      <c r="Z81" s="9">
        <v>0</v>
      </c>
      <c r="AA81" s="9">
        <v>0</v>
      </c>
      <c r="AB81" s="9">
        <v>0</v>
      </c>
      <c r="AC81" s="9">
        <v>0</v>
      </c>
      <c r="AD81" s="9">
        <v>0</v>
      </c>
      <c r="AE81" s="9">
        <v>0</v>
      </c>
      <c r="AF81" s="9">
        <v>0</v>
      </c>
      <c r="AG81" s="9">
        <v>0</v>
      </c>
      <c r="AH81" s="9">
        <v>0</v>
      </c>
      <c r="AI81" s="9">
        <v>0</v>
      </c>
      <c r="AJ81" s="9">
        <v>0</v>
      </c>
      <c r="AK81" s="9">
        <v>0</v>
      </c>
      <c r="AL81" s="9">
        <v>0</v>
      </c>
      <c r="AM81" s="9">
        <v>0</v>
      </c>
      <c r="AN81" s="9">
        <v>0</v>
      </c>
      <c r="AO81" s="9">
        <v>0</v>
      </c>
      <c r="AP81" s="9">
        <v>0</v>
      </c>
      <c r="AQ81" s="9">
        <v>0</v>
      </c>
      <c r="AR81" s="9">
        <v>0</v>
      </c>
      <c r="AS81" s="9">
        <v>0</v>
      </c>
      <c r="AT81" s="9">
        <v>0</v>
      </c>
      <c r="AU81" s="9">
        <v>0</v>
      </c>
      <c r="AV81" s="9">
        <v>0</v>
      </c>
      <c r="AW81" s="9">
        <v>0</v>
      </c>
      <c r="AX81" s="9">
        <f t="shared" si="28"/>
        <v>504.55350036537982</v>
      </c>
      <c r="AY81" s="9">
        <f t="shared" si="29"/>
        <v>141.98472696245727</v>
      </c>
      <c r="AZ81" s="9">
        <f t="shared" si="30"/>
        <v>153.67969490462892</v>
      </c>
      <c r="BA81" s="9">
        <f t="shared" si="31"/>
        <v>267.51527303754261</v>
      </c>
      <c r="BB81" s="9">
        <f t="shared" si="32"/>
        <v>237.03822732783721</v>
      </c>
      <c r="BC81" s="19"/>
      <c r="BD81" s="9">
        <v>334.4</v>
      </c>
      <c r="BF81" s="252">
        <v>380</v>
      </c>
      <c r="BH81" s="252">
        <v>48</v>
      </c>
      <c r="BI81" s="252">
        <f t="shared" si="33"/>
        <v>48</v>
      </c>
      <c r="BJ81" s="252">
        <f t="shared" si="23"/>
        <v>464.00853242320824</v>
      </c>
      <c r="BK81" s="256">
        <f t="shared" si="25"/>
        <v>48</v>
      </c>
      <c r="BP81" s="252">
        <v>192</v>
      </c>
      <c r="BQ81" s="252">
        <f t="shared" si="34"/>
        <v>192</v>
      </c>
      <c r="BR81" s="256">
        <f t="shared" si="35"/>
        <v>464.00853242320824</v>
      </c>
      <c r="BS81" s="255">
        <f t="shared" si="26"/>
        <v>192</v>
      </c>
      <c r="BU81" s="252">
        <v>0</v>
      </c>
      <c r="BW81" s="9">
        <v>2</v>
      </c>
      <c r="BX81" s="9">
        <v>35</v>
      </c>
      <c r="BY81" s="9">
        <v>34</v>
      </c>
      <c r="BZ81" s="9">
        <v>40</v>
      </c>
      <c r="CA81" s="9">
        <v>36</v>
      </c>
      <c r="CB81" s="9">
        <v>40</v>
      </c>
      <c r="CC81" s="9">
        <v>39</v>
      </c>
      <c r="CD81" s="9">
        <v>43</v>
      </c>
      <c r="CE81" s="9">
        <v>41</v>
      </c>
      <c r="CF81" s="9">
        <v>35</v>
      </c>
      <c r="CG81" s="9">
        <v>45</v>
      </c>
      <c r="CH81" s="9">
        <v>27</v>
      </c>
      <c r="CI81" s="9">
        <v>42</v>
      </c>
      <c r="CJ81" s="9">
        <v>39</v>
      </c>
      <c r="CK81" s="23">
        <f t="shared" si="36"/>
        <v>478.5</v>
      </c>
      <c r="CL81">
        <f t="shared" si="37"/>
        <v>127.5</v>
      </c>
      <c r="CM81">
        <f t="shared" si="38"/>
        <v>153</v>
      </c>
      <c r="CN81" s="23">
        <f t="shared" si="39"/>
        <v>249.5</v>
      </c>
      <c r="CO81">
        <f t="shared" si="20"/>
        <v>229</v>
      </c>
      <c r="CQ81" s="23">
        <f t="shared" si="40"/>
        <v>267</v>
      </c>
      <c r="CR81" s="23">
        <f t="shared" si="41"/>
        <v>229</v>
      </c>
    </row>
    <row r="82" spans="1:96" ht="29.25">
      <c r="A82" t="str">
        <f t="shared" si="24"/>
        <v>314</v>
      </c>
      <c r="B82">
        <f t="shared" si="27"/>
        <v>314</v>
      </c>
      <c r="C82" s="14" t="s">
        <v>89</v>
      </c>
      <c r="D82" s="11"/>
      <c r="E82" s="9">
        <f>SUM(14.472049689441*0.5)</f>
        <v>7.2360248447205002</v>
      </c>
      <c r="F82" s="9">
        <v>15.4689440993789</v>
      </c>
      <c r="G82" s="9">
        <v>14.015527950310601</v>
      </c>
      <c r="H82" s="9">
        <v>15.673913043478301</v>
      </c>
      <c r="I82" s="9">
        <v>14.211180124223601</v>
      </c>
      <c r="J82" s="9">
        <v>20.0745341614907</v>
      </c>
      <c r="K82" s="9">
        <v>14.3944099378882</v>
      </c>
      <c r="L82" s="9">
        <v>20.431677018633501</v>
      </c>
      <c r="M82" s="9">
        <v>12.7049689440994</v>
      </c>
      <c r="N82" s="9">
        <v>17.841614906832302</v>
      </c>
      <c r="O82" s="9">
        <v>14.1273291925466</v>
      </c>
      <c r="P82" s="9">
        <v>11.4534161490683</v>
      </c>
      <c r="Q82" s="9">
        <v>9.5155279503105596</v>
      </c>
      <c r="R82" s="9">
        <v>0</v>
      </c>
      <c r="S82" s="9">
        <v>0</v>
      </c>
      <c r="T82" s="9">
        <v>0</v>
      </c>
      <c r="U82" s="9">
        <v>0</v>
      </c>
      <c r="V82" s="9">
        <v>0</v>
      </c>
      <c r="W82" s="9">
        <v>0</v>
      </c>
      <c r="X82" s="9">
        <v>0</v>
      </c>
      <c r="Y82" s="9">
        <v>0</v>
      </c>
      <c r="Z82" s="9">
        <v>0</v>
      </c>
      <c r="AA82" s="9">
        <v>0</v>
      </c>
      <c r="AB82" s="9">
        <v>0</v>
      </c>
      <c r="AC82" s="9">
        <v>0</v>
      </c>
      <c r="AD82" s="9">
        <v>0</v>
      </c>
      <c r="AE82" s="9">
        <v>0</v>
      </c>
      <c r="AF82" s="9">
        <v>0</v>
      </c>
      <c r="AG82" s="9">
        <v>0</v>
      </c>
      <c r="AH82" s="9">
        <v>0</v>
      </c>
      <c r="AI82" s="9">
        <v>0</v>
      </c>
      <c r="AJ82" s="9">
        <v>0</v>
      </c>
      <c r="AK82" s="9">
        <v>0</v>
      </c>
      <c r="AL82" s="9">
        <v>0</v>
      </c>
      <c r="AM82" s="9">
        <v>0</v>
      </c>
      <c r="AN82" s="9">
        <v>0</v>
      </c>
      <c r="AO82" s="9">
        <v>0</v>
      </c>
      <c r="AP82" s="9">
        <v>0</v>
      </c>
      <c r="AQ82" s="9">
        <v>0</v>
      </c>
      <c r="AR82" s="9">
        <v>0</v>
      </c>
      <c r="AS82" s="9">
        <v>0</v>
      </c>
      <c r="AT82" s="9">
        <v>0</v>
      </c>
      <c r="AU82" s="9">
        <v>0</v>
      </c>
      <c r="AV82" s="9">
        <v>0</v>
      </c>
      <c r="AW82" s="9">
        <v>0</v>
      </c>
      <c r="AX82" s="9">
        <f t="shared" si="28"/>
        <v>196.50652173913051</v>
      </c>
      <c r="AY82" s="9">
        <f t="shared" si="29"/>
        <v>55.014130434782714</v>
      </c>
      <c r="AZ82" s="9">
        <f t="shared" si="30"/>
        <v>55.584782608695654</v>
      </c>
      <c r="BA82" s="9">
        <f t="shared" si="31"/>
        <v>106.12826086956535</v>
      </c>
      <c r="BB82" s="9">
        <f t="shared" si="32"/>
        <v>90.378260869565196</v>
      </c>
      <c r="BC82" s="19"/>
      <c r="BD82" s="9">
        <v>131</v>
      </c>
      <c r="BF82" s="252">
        <v>129</v>
      </c>
      <c r="BH82" s="252">
        <v>20</v>
      </c>
      <c r="BI82" s="252">
        <f t="shared" si="33"/>
        <v>20</v>
      </c>
      <c r="BJ82" s="252">
        <f t="shared" si="23"/>
        <v>187.14906832298144</v>
      </c>
      <c r="BK82" s="256">
        <f t="shared" si="25"/>
        <v>20</v>
      </c>
      <c r="BP82" s="252">
        <v>30</v>
      </c>
      <c r="BQ82" s="252">
        <f t="shared" si="34"/>
        <v>30</v>
      </c>
      <c r="BR82" s="256">
        <f t="shared" si="35"/>
        <v>187.14906832298144</v>
      </c>
      <c r="BS82" s="255">
        <f t="shared" si="26"/>
        <v>30</v>
      </c>
      <c r="BU82" s="252">
        <v>6</v>
      </c>
      <c r="BW82" s="9">
        <v>5</v>
      </c>
      <c r="BX82" s="9">
        <v>16</v>
      </c>
      <c r="BY82" s="9">
        <v>16</v>
      </c>
      <c r="BZ82" s="9">
        <v>16</v>
      </c>
      <c r="CA82" s="9">
        <v>16</v>
      </c>
      <c r="CB82" s="9">
        <v>16</v>
      </c>
      <c r="CC82" s="9">
        <v>16</v>
      </c>
      <c r="CD82" s="9">
        <v>17</v>
      </c>
      <c r="CE82" s="9">
        <v>21</v>
      </c>
      <c r="CF82" s="9">
        <v>18</v>
      </c>
      <c r="CG82" s="9">
        <v>12</v>
      </c>
      <c r="CH82" s="9">
        <v>16</v>
      </c>
      <c r="CI82" s="9">
        <v>17</v>
      </c>
      <c r="CJ82" s="9">
        <v>14</v>
      </c>
      <c r="CK82" s="23">
        <f t="shared" si="36"/>
        <v>203</v>
      </c>
      <c r="CL82">
        <f t="shared" si="37"/>
        <v>56</v>
      </c>
      <c r="CM82">
        <f t="shared" si="38"/>
        <v>59</v>
      </c>
      <c r="CN82" s="23">
        <f t="shared" si="39"/>
        <v>105</v>
      </c>
      <c r="CO82">
        <f t="shared" si="20"/>
        <v>100</v>
      </c>
      <c r="CQ82" s="23">
        <f t="shared" si="40"/>
        <v>113</v>
      </c>
      <c r="CR82" s="23">
        <f t="shared" si="41"/>
        <v>98</v>
      </c>
    </row>
    <row r="83" spans="1:96" ht="29.25">
      <c r="A83" t="str">
        <f t="shared" si="24"/>
        <v>316</v>
      </c>
      <c r="B83">
        <f t="shared" si="27"/>
        <v>316</v>
      </c>
      <c r="C83" s="14" t="s">
        <v>90</v>
      </c>
      <c r="D83" s="11"/>
      <c r="E83" s="9">
        <f>SUM(13.3541666666667*0.5)</f>
        <v>6.6770833333333499</v>
      </c>
      <c r="F83" s="9">
        <v>15.618881118881101</v>
      </c>
      <c r="G83" s="9">
        <v>14.618881118881101</v>
      </c>
      <c r="H83" s="9">
        <v>16.342657342657301</v>
      </c>
      <c r="I83" s="9">
        <v>19.426573426573398</v>
      </c>
      <c r="J83" s="9">
        <v>13.881118881118899</v>
      </c>
      <c r="K83" s="9">
        <v>12.2692307692308</v>
      </c>
      <c r="L83" s="9">
        <v>15.472027972028</v>
      </c>
      <c r="M83" s="9">
        <v>9.4160839160839203</v>
      </c>
      <c r="N83" s="9">
        <v>15.4924431111201</v>
      </c>
      <c r="O83" s="9">
        <v>9.7570794740682505</v>
      </c>
      <c r="P83" s="9">
        <v>9.0829823862863197</v>
      </c>
      <c r="Q83" s="9">
        <v>9.5874125874125902</v>
      </c>
      <c r="R83" s="9">
        <v>0</v>
      </c>
      <c r="S83" s="9">
        <v>0</v>
      </c>
      <c r="T83" s="9">
        <v>0</v>
      </c>
      <c r="U83" s="9">
        <v>0</v>
      </c>
      <c r="V83" s="9">
        <v>0</v>
      </c>
      <c r="W83" s="9">
        <v>0</v>
      </c>
      <c r="X83" s="9">
        <v>0</v>
      </c>
      <c r="Y83" s="9">
        <v>0</v>
      </c>
      <c r="Z83" s="9">
        <v>0</v>
      </c>
      <c r="AA83" s="9">
        <v>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9">
        <v>0</v>
      </c>
      <c r="AS83" s="9">
        <v>0</v>
      </c>
      <c r="AT83" s="9">
        <v>0</v>
      </c>
      <c r="AU83" s="9">
        <v>0</v>
      </c>
      <c r="AV83" s="9">
        <v>0</v>
      </c>
      <c r="AW83" s="9">
        <v>0</v>
      </c>
      <c r="AX83" s="9">
        <f t="shared" si="28"/>
        <v>176.02457820955888</v>
      </c>
      <c r="AY83" s="9">
        <f t="shared" si="29"/>
        <v>55.920378059440488</v>
      </c>
      <c r="AZ83" s="9">
        <f t="shared" si="30"/>
        <v>46.115913436831626</v>
      </c>
      <c r="BA83" s="9">
        <f t="shared" si="31"/>
        <v>103.77614729020974</v>
      </c>
      <c r="BB83" s="9">
        <f t="shared" si="32"/>
        <v>72.248430919349133</v>
      </c>
      <c r="BC83" s="19"/>
      <c r="BD83" s="9">
        <v>123</v>
      </c>
      <c r="BF83" s="252">
        <v>114</v>
      </c>
      <c r="BH83" s="252">
        <v>26</v>
      </c>
      <c r="BI83" s="252">
        <f t="shared" si="33"/>
        <v>26</v>
      </c>
      <c r="BJ83" s="252">
        <f t="shared" si="23"/>
        <v>167.64245543767512</v>
      </c>
      <c r="BK83" s="256">
        <f t="shared" si="25"/>
        <v>26</v>
      </c>
      <c r="BP83" s="252">
        <v>25</v>
      </c>
      <c r="BQ83" s="252">
        <f t="shared" si="34"/>
        <v>25</v>
      </c>
      <c r="BR83" s="256">
        <f t="shared" si="35"/>
        <v>167.64245543767512</v>
      </c>
      <c r="BS83" s="255">
        <f t="shared" si="26"/>
        <v>25</v>
      </c>
      <c r="BU83" s="252">
        <v>0</v>
      </c>
      <c r="BW83" s="9">
        <v>4</v>
      </c>
      <c r="BX83" s="9">
        <v>22</v>
      </c>
      <c r="BY83" s="9">
        <v>15</v>
      </c>
      <c r="BZ83" s="9">
        <v>15</v>
      </c>
      <c r="CA83" s="9">
        <v>13</v>
      </c>
      <c r="CB83" s="9">
        <v>20</v>
      </c>
      <c r="CC83" s="9">
        <v>18</v>
      </c>
      <c r="CD83" s="9">
        <v>13</v>
      </c>
      <c r="CE83" s="9">
        <v>12</v>
      </c>
      <c r="CF83" s="9">
        <v>13</v>
      </c>
      <c r="CG83" s="9">
        <v>10</v>
      </c>
      <c r="CH83" s="9">
        <v>18</v>
      </c>
      <c r="CI83" s="9">
        <v>10</v>
      </c>
      <c r="CJ83" s="9">
        <v>9</v>
      </c>
      <c r="CK83" s="23">
        <f t="shared" si="36"/>
        <v>177</v>
      </c>
      <c r="CL83">
        <f t="shared" si="37"/>
        <v>54</v>
      </c>
      <c r="CM83">
        <f t="shared" si="38"/>
        <v>47</v>
      </c>
      <c r="CN83" s="23">
        <f t="shared" si="39"/>
        <v>105</v>
      </c>
      <c r="CO83">
        <f t="shared" si="20"/>
        <v>100</v>
      </c>
      <c r="CQ83" s="23">
        <f t="shared" si="40"/>
        <v>116</v>
      </c>
      <c r="CR83" s="23">
        <f t="shared" si="41"/>
        <v>72</v>
      </c>
    </row>
    <row r="84" spans="1:96" ht="29.25">
      <c r="A84" t="str">
        <f t="shared" si="24"/>
        <v>321</v>
      </c>
      <c r="B84">
        <f t="shared" si="27"/>
        <v>321</v>
      </c>
      <c r="C84" s="14" t="s">
        <v>91</v>
      </c>
      <c r="D84" s="11"/>
      <c r="E84" s="9">
        <f>SUM(398.794285714286*0.5)</f>
        <v>199.397142857143</v>
      </c>
      <c r="F84" s="9">
        <v>368.20863405056298</v>
      </c>
      <c r="G84" s="9">
        <v>362.391278905467</v>
      </c>
      <c r="H84" s="9">
        <v>372.94658406372201</v>
      </c>
      <c r="I84" s="9">
        <v>380.12475479505599</v>
      </c>
      <c r="J84" s="9">
        <v>370.88</v>
      </c>
      <c r="K84" s="9">
        <v>394.24857142857098</v>
      </c>
      <c r="L84" s="9">
        <v>384.64857142857102</v>
      </c>
      <c r="M84" s="9">
        <v>378.74</v>
      </c>
      <c r="N84" s="9">
        <v>353.98</v>
      </c>
      <c r="O84" s="9">
        <v>379.809798270893</v>
      </c>
      <c r="P84" s="9">
        <v>394.45821325648399</v>
      </c>
      <c r="Q84" s="9">
        <v>319.05187319884698</v>
      </c>
      <c r="R84" s="9">
        <v>0</v>
      </c>
      <c r="S84" s="9">
        <v>4.3497142857142901</v>
      </c>
      <c r="T84" s="9">
        <v>2.92</v>
      </c>
      <c r="U84" s="9">
        <v>18.196190476190498</v>
      </c>
      <c r="V84" s="9">
        <v>22.551904</v>
      </c>
      <c r="W84" s="9">
        <v>22.6651305683564</v>
      </c>
      <c r="X84" s="9">
        <v>29.210852088888899</v>
      </c>
      <c r="Y84" s="9">
        <v>0</v>
      </c>
      <c r="Z84" s="9">
        <v>0</v>
      </c>
      <c r="AA84" s="9">
        <v>0</v>
      </c>
      <c r="AB84" s="9">
        <v>0</v>
      </c>
      <c r="AC84" s="9">
        <v>0</v>
      </c>
      <c r="AD84" s="9">
        <v>0</v>
      </c>
      <c r="AE84" s="9">
        <v>0</v>
      </c>
      <c r="AF84" s="9">
        <v>0</v>
      </c>
      <c r="AG84" s="9">
        <v>0</v>
      </c>
      <c r="AH84" s="9">
        <v>0</v>
      </c>
      <c r="AI84" s="9">
        <v>0</v>
      </c>
      <c r="AJ84" s="9">
        <v>0</v>
      </c>
      <c r="AK84" s="9">
        <v>0</v>
      </c>
      <c r="AL84" s="9">
        <v>0</v>
      </c>
      <c r="AM84" s="9">
        <v>0</v>
      </c>
      <c r="AN84" s="9">
        <v>0</v>
      </c>
      <c r="AO84" s="9">
        <v>0</v>
      </c>
      <c r="AP84" s="9">
        <v>0</v>
      </c>
      <c r="AQ84" s="9">
        <v>0</v>
      </c>
      <c r="AR84" s="9">
        <v>0</v>
      </c>
      <c r="AS84" s="9">
        <v>0</v>
      </c>
      <c r="AT84" s="9">
        <v>2.6666666666666701</v>
      </c>
      <c r="AU84" s="9">
        <v>3.87450980392157</v>
      </c>
      <c r="AV84" s="9">
        <v>4.0470588235294098</v>
      </c>
      <c r="AW84" s="9">
        <v>3.3254901960784302</v>
      </c>
      <c r="AX84" s="9">
        <f t="shared" si="28"/>
        <v>5011.3275861228949</v>
      </c>
      <c r="AY84" s="9">
        <f t="shared" si="29"/>
        <v>1368.0908218707395</v>
      </c>
      <c r="AZ84" s="9">
        <f t="shared" si="30"/>
        <v>1631.5295717173487</v>
      </c>
      <c r="BA84" s="9">
        <f t="shared" si="31"/>
        <v>2570.606814405548</v>
      </c>
      <c r="BB84" s="9">
        <f t="shared" si="32"/>
        <v>2440.7207717173483</v>
      </c>
      <c r="BC84" s="19"/>
      <c r="BD84" s="9">
        <v>1927</v>
      </c>
      <c r="BF84" s="252">
        <v>1946</v>
      </c>
      <c r="BH84" s="252">
        <v>570</v>
      </c>
      <c r="BI84" s="252">
        <f t="shared" si="33"/>
        <v>570</v>
      </c>
      <c r="BJ84" s="252">
        <f t="shared" si="23"/>
        <v>4658.8854222553164</v>
      </c>
      <c r="BK84" s="256">
        <f t="shared" si="25"/>
        <v>570</v>
      </c>
      <c r="BP84" s="252">
        <v>224</v>
      </c>
      <c r="BQ84" s="252">
        <f t="shared" si="34"/>
        <v>224</v>
      </c>
      <c r="BR84" s="256">
        <f t="shared" si="35"/>
        <v>4658.8854222553164</v>
      </c>
      <c r="BS84" s="255">
        <f t="shared" si="26"/>
        <v>224</v>
      </c>
      <c r="BU84" s="252">
        <v>426</v>
      </c>
      <c r="BW84" s="9">
        <v>68</v>
      </c>
      <c r="BX84" s="9">
        <v>414</v>
      </c>
      <c r="BY84" s="9">
        <v>388</v>
      </c>
      <c r="BZ84" s="9">
        <v>377</v>
      </c>
      <c r="CA84" s="9">
        <v>373</v>
      </c>
      <c r="CB84" s="9">
        <v>401</v>
      </c>
      <c r="CC84" s="9">
        <v>400</v>
      </c>
      <c r="CD84" s="9">
        <v>388</v>
      </c>
      <c r="CE84" s="9">
        <v>412</v>
      </c>
      <c r="CF84" s="9">
        <v>402</v>
      </c>
      <c r="CG84" s="9">
        <v>408</v>
      </c>
      <c r="CH84" s="9">
        <v>410</v>
      </c>
      <c r="CI84" s="9">
        <v>437</v>
      </c>
      <c r="CJ84" s="9">
        <v>401</v>
      </c>
      <c r="CK84" s="23">
        <f t="shared" si="36"/>
        <v>5007.4784313725486</v>
      </c>
      <c r="CL84">
        <f t="shared" si="37"/>
        <v>1345</v>
      </c>
      <c r="CM84">
        <f t="shared" si="38"/>
        <v>1659.478431372549</v>
      </c>
      <c r="CN84" s="23">
        <f t="shared" si="39"/>
        <v>2534</v>
      </c>
      <c r="CO84">
        <f t="shared" si="20"/>
        <v>2473.478431372549</v>
      </c>
      <c r="CQ84" s="23">
        <f t="shared" si="40"/>
        <v>2741</v>
      </c>
      <c r="CR84" s="23">
        <f t="shared" si="41"/>
        <v>2473.478431372549</v>
      </c>
    </row>
    <row r="85" spans="1:96" ht="29.25">
      <c r="A85" t="str">
        <f t="shared" si="24"/>
        <v>322</v>
      </c>
      <c r="B85">
        <f t="shared" si="27"/>
        <v>322</v>
      </c>
      <c r="C85" s="14" t="s">
        <v>92</v>
      </c>
      <c r="D85" s="11"/>
      <c r="E85" s="9">
        <f>SUM(98.187134502924*0.5)</f>
        <v>49.093567251461998</v>
      </c>
      <c r="F85" s="9">
        <v>76.432748538011694</v>
      </c>
      <c r="G85" s="9">
        <v>93.640350877193001</v>
      </c>
      <c r="H85" s="9">
        <v>128.97368421052599</v>
      </c>
      <c r="I85" s="9">
        <v>103.143274853801</v>
      </c>
      <c r="J85" s="9">
        <v>146.663742690058</v>
      </c>
      <c r="K85" s="9">
        <v>110.98538011695901</v>
      </c>
      <c r="L85" s="9">
        <v>134.03801169590599</v>
      </c>
      <c r="M85" s="9">
        <v>131.938596491228</v>
      </c>
      <c r="N85" s="9">
        <v>112.523391812865</v>
      </c>
      <c r="O85" s="9">
        <v>156.54385964912299</v>
      </c>
      <c r="P85" s="9">
        <v>121.84795321637399</v>
      </c>
      <c r="Q85" s="9">
        <v>119.04385964912299</v>
      </c>
      <c r="R85" s="9">
        <v>0</v>
      </c>
      <c r="S85" s="9">
        <v>0</v>
      </c>
      <c r="T85" s="9">
        <v>0</v>
      </c>
      <c r="U85" s="9">
        <v>0.97724137931034505</v>
      </c>
      <c r="V85" s="9">
        <v>1.91180722891566</v>
      </c>
      <c r="W85" s="9">
        <v>4.7812395039071296</v>
      </c>
      <c r="X85" s="9">
        <v>10.688905304196201</v>
      </c>
      <c r="Y85" s="9">
        <v>0</v>
      </c>
      <c r="Z85" s="9">
        <v>0</v>
      </c>
      <c r="AA85" s="9">
        <v>0</v>
      </c>
      <c r="AB85" s="9">
        <v>0</v>
      </c>
      <c r="AC85" s="9">
        <v>0</v>
      </c>
      <c r="AD85" s="9">
        <v>0</v>
      </c>
      <c r="AE85" s="9">
        <v>0</v>
      </c>
      <c r="AF85" s="9">
        <v>0</v>
      </c>
      <c r="AG85" s="9">
        <v>0</v>
      </c>
      <c r="AH85" s="9">
        <v>0</v>
      </c>
      <c r="AI85" s="9">
        <v>0</v>
      </c>
      <c r="AJ85" s="9">
        <v>0</v>
      </c>
      <c r="AK85" s="9">
        <v>0</v>
      </c>
      <c r="AL85" s="9">
        <v>0</v>
      </c>
      <c r="AM85" s="9">
        <v>0</v>
      </c>
      <c r="AN85" s="9">
        <v>0</v>
      </c>
      <c r="AO85" s="9">
        <v>0</v>
      </c>
      <c r="AP85" s="9">
        <v>0</v>
      </c>
      <c r="AQ85" s="9">
        <v>0</v>
      </c>
      <c r="AR85" s="9">
        <v>0</v>
      </c>
      <c r="AS85" s="9">
        <v>0</v>
      </c>
      <c r="AT85" s="9">
        <v>0</v>
      </c>
      <c r="AU85" s="9">
        <v>0</v>
      </c>
      <c r="AV85" s="9">
        <v>0</v>
      </c>
      <c r="AW85" s="9">
        <v>0</v>
      </c>
      <c r="AX85" s="9">
        <f t="shared" si="28"/>
        <v>1578.388995192407</v>
      </c>
      <c r="AY85" s="9">
        <f t="shared" si="29"/>
        <v>365.54736842105228</v>
      </c>
      <c r="AZ85" s="9">
        <f t="shared" si="30"/>
        <v>554.73417063100499</v>
      </c>
      <c r="BA85" s="9">
        <f t="shared" si="31"/>
        <v>744.37938596491131</v>
      </c>
      <c r="BB85" s="9">
        <f t="shared" si="32"/>
        <v>834.00960922749573</v>
      </c>
      <c r="BC85" s="19"/>
      <c r="BD85" s="9">
        <v>682</v>
      </c>
      <c r="BF85" s="252">
        <v>613</v>
      </c>
      <c r="BH85" s="252">
        <v>123</v>
      </c>
      <c r="BI85" s="252">
        <f t="shared" si="33"/>
        <v>123</v>
      </c>
      <c r="BJ85" s="252">
        <f t="shared" si="23"/>
        <v>1484.8684210526299</v>
      </c>
      <c r="BK85" s="256">
        <f t="shared" si="25"/>
        <v>123</v>
      </c>
      <c r="BP85" s="252">
        <v>51</v>
      </c>
      <c r="BQ85" s="252">
        <f t="shared" si="34"/>
        <v>51</v>
      </c>
      <c r="BR85" s="256">
        <f t="shared" si="35"/>
        <v>1484.8684210526299</v>
      </c>
      <c r="BS85" s="255">
        <f t="shared" si="26"/>
        <v>51</v>
      </c>
      <c r="BU85" s="252">
        <v>75</v>
      </c>
      <c r="BW85" s="9">
        <v>22</v>
      </c>
      <c r="BX85" s="9">
        <v>100</v>
      </c>
      <c r="BY85" s="9">
        <v>114</v>
      </c>
      <c r="BZ85" s="9">
        <v>79</v>
      </c>
      <c r="CA85" s="9">
        <v>106</v>
      </c>
      <c r="CB85" s="9">
        <v>134</v>
      </c>
      <c r="CC85" s="9">
        <v>111</v>
      </c>
      <c r="CD85" s="9">
        <v>155</v>
      </c>
      <c r="CE85" s="9">
        <v>123</v>
      </c>
      <c r="CF85" s="9">
        <v>148</v>
      </c>
      <c r="CG85" s="9">
        <v>146</v>
      </c>
      <c r="CH85" s="9">
        <v>112</v>
      </c>
      <c r="CI85" s="9">
        <v>163</v>
      </c>
      <c r="CJ85" s="9">
        <v>118</v>
      </c>
      <c r="CK85" s="23">
        <f t="shared" si="36"/>
        <v>1559</v>
      </c>
      <c r="CL85">
        <f t="shared" si="37"/>
        <v>349</v>
      </c>
      <c r="CM85">
        <f t="shared" si="38"/>
        <v>539</v>
      </c>
      <c r="CN85" s="23">
        <f t="shared" si="39"/>
        <v>749</v>
      </c>
      <c r="CO85">
        <f t="shared" si="20"/>
        <v>810</v>
      </c>
      <c r="CQ85" s="23">
        <f t="shared" si="40"/>
        <v>799</v>
      </c>
      <c r="CR85" s="23">
        <f t="shared" si="41"/>
        <v>810</v>
      </c>
    </row>
    <row r="86" spans="1:96" ht="29.25">
      <c r="A86" t="str">
        <f t="shared" si="24"/>
        <v>331</v>
      </c>
      <c r="B86">
        <f t="shared" si="27"/>
        <v>331</v>
      </c>
      <c r="C86" s="14" t="s">
        <v>93</v>
      </c>
      <c r="D86" s="11"/>
      <c r="E86" s="9">
        <f>SUM(288.267857142857*0.5)</f>
        <v>144.1339285714285</v>
      </c>
      <c r="F86" s="9">
        <v>326.80769230769198</v>
      </c>
      <c r="G86" s="9">
        <v>321.242603550296</v>
      </c>
      <c r="H86" s="9">
        <v>313.70525575830499</v>
      </c>
      <c r="I86" s="9">
        <v>355.14201183431999</v>
      </c>
      <c r="J86" s="9">
        <v>313.30769230769198</v>
      </c>
      <c r="K86" s="9">
        <v>302.54437869822499</v>
      </c>
      <c r="L86" s="9">
        <v>301.44970414201202</v>
      </c>
      <c r="M86" s="9">
        <v>274.91715976331398</v>
      </c>
      <c r="N86" s="9">
        <v>244.39644970414199</v>
      </c>
      <c r="O86" s="9">
        <v>201.31952662721901</v>
      </c>
      <c r="P86" s="9">
        <v>237.538461538462</v>
      </c>
      <c r="Q86" s="9">
        <v>202.03550295858</v>
      </c>
      <c r="R86" s="9">
        <v>10.463967289377299</v>
      </c>
      <c r="S86" s="9">
        <v>8.8969453846153801</v>
      </c>
      <c r="T86" s="9">
        <v>11.497012849880701</v>
      </c>
      <c r="U86" s="9">
        <v>20.1692054409171</v>
      </c>
      <c r="V86" s="9">
        <v>23.375223833995101</v>
      </c>
      <c r="W86" s="9">
        <v>45.124959239446</v>
      </c>
      <c r="X86" s="9">
        <v>48.996125186741402</v>
      </c>
      <c r="Y86" s="9">
        <v>0</v>
      </c>
      <c r="Z86" s="9">
        <v>0</v>
      </c>
      <c r="AA86" s="9">
        <v>0.48275862068965503</v>
      </c>
      <c r="AB86" s="9">
        <v>0.70175438596491202</v>
      </c>
      <c r="AC86" s="9">
        <v>1.3958333333333299</v>
      </c>
      <c r="AD86" s="9">
        <v>1.71710526315789</v>
      </c>
      <c r="AE86" s="9">
        <v>1.32098765432099</v>
      </c>
      <c r="AF86" s="9">
        <v>1.66379310344828</v>
      </c>
      <c r="AG86" s="9">
        <v>1.1340206185567001</v>
      </c>
      <c r="AH86" s="9">
        <v>0</v>
      </c>
      <c r="AI86" s="9">
        <v>0</v>
      </c>
      <c r="AJ86" s="9">
        <v>0</v>
      </c>
      <c r="AK86" s="9">
        <v>0.20512820512820501</v>
      </c>
      <c r="AL86" s="9">
        <v>1.6923076923076901</v>
      </c>
      <c r="AM86" s="9">
        <v>1.05128205128205</v>
      </c>
      <c r="AN86" s="9">
        <v>0.512820512820513</v>
      </c>
      <c r="AO86" s="9">
        <v>1.3076923076923099</v>
      </c>
      <c r="AP86" s="9">
        <v>0.66666666666666696</v>
      </c>
      <c r="AQ86" s="9">
        <v>10.911764705882399</v>
      </c>
      <c r="AR86" s="9">
        <v>20.480392156862699</v>
      </c>
      <c r="AS86" s="9">
        <v>24.598039215686299</v>
      </c>
      <c r="AT86" s="9">
        <v>12.882352941176499</v>
      </c>
      <c r="AU86" s="9">
        <v>19.282352941176502</v>
      </c>
      <c r="AV86" s="9">
        <v>22.509803921568601</v>
      </c>
      <c r="AW86" s="9">
        <v>5.4509803921568603</v>
      </c>
      <c r="AX86" s="9">
        <f t="shared" si="28"/>
        <v>4028.883225860367</v>
      </c>
      <c r="AY86" s="9">
        <f t="shared" si="29"/>
        <v>1161.1839541971074</v>
      </c>
      <c r="AZ86" s="9">
        <f t="shared" si="30"/>
        <v>1147.0780785487027</v>
      </c>
      <c r="BA86" s="9">
        <f t="shared" si="31"/>
        <v>2203.6791563261031</v>
      </c>
      <c r="BB86" s="9">
        <f t="shared" si="32"/>
        <v>1825.2040695342635</v>
      </c>
      <c r="BC86" s="19"/>
      <c r="BD86" s="9">
        <v>2589</v>
      </c>
      <c r="BF86" s="252">
        <v>2840</v>
      </c>
      <c r="BH86" s="252">
        <v>475</v>
      </c>
      <c r="BI86" s="252">
        <f t="shared" si="33"/>
        <v>475</v>
      </c>
      <c r="BJ86" s="252">
        <f t="shared" si="23"/>
        <v>3538.5403677616869</v>
      </c>
      <c r="BK86" s="256">
        <f t="shared" si="25"/>
        <v>475</v>
      </c>
      <c r="BP86" s="252">
        <v>668</v>
      </c>
      <c r="BQ86" s="252">
        <f t="shared" si="34"/>
        <v>668</v>
      </c>
      <c r="BR86" s="256">
        <f t="shared" si="35"/>
        <v>3538.5403677616869</v>
      </c>
      <c r="BS86" s="255">
        <f t="shared" si="26"/>
        <v>668</v>
      </c>
      <c r="BU86" s="252">
        <v>79</v>
      </c>
      <c r="BW86" s="9">
        <v>68</v>
      </c>
      <c r="BX86" s="9">
        <v>318</v>
      </c>
      <c r="BY86" s="9">
        <v>325</v>
      </c>
      <c r="BZ86" s="9">
        <v>343</v>
      </c>
      <c r="CA86" s="9">
        <v>345</v>
      </c>
      <c r="CB86" s="9">
        <v>333</v>
      </c>
      <c r="CC86" s="9">
        <v>379</v>
      </c>
      <c r="CD86" s="9">
        <v>340</v>
      </c>
      <c r="CE86" s="9">
        <v>342</v>
      </c>
      <c r="CF86" s="9">
        <v>331</v>
      </c>
      <c r="CG86" s="9">
        <v>322</v>
      </c>
      <c r="CH86" s="9">
        <v>273</v>
      </c>
      <c r="CI86" s="9">
        <v>235</v>
      </c>
      <c r="CJ86" s="9">
        <v>311</v>
      </c>
      <c r="CK86" s="23">
        <f t="shared" si="36"/>
        <v>4068.3878959276017</v>
      </c>
      <c r="CL86">
        <f t="shared" si="37"/>
        <v>1172</v>
      </c>
      <c r="CM86">
        <f t="shared" si="38"/>
        <v>1156.9159879336351</v>
      </c>
      <c r="CN86" s="23">
        <f t="shared" si="39"/>
        <v>2226.7279411764707</v>
      </c>
      <c r="CO86">
        <f t="shared" si="20"/>
        <v>1841.6599547511312</v>
      </c>
      <c r="CQ86" s="23">
        <f t="shared" si="40"/>
        <v>2385.7279411764707</v>
      </c>
      <c r="CR86" s="23">
        <f t="shared" si="41"/>
        <v>1841.6599547511312</v>
      </c>
    </row>
    <row r="87" spans="1:96" ht="29.25">
      <c r="A87" t="str">
        <f t="shared" si="24"/>
        <v>340</v>
      </c>
      <c r="B87">
        <f t="shared" si="27"/>
        <v>340</v>
      </c>
      <c r="C87" s="14" t="s">
        <v>94</v>
      </c>
      <c r="D87" s="11"/>
      <c r="E87" s="9">
        <f>SUM(334.344827586207*0.5)</f>
        <v>167.17241379310349</v>
      </c>
      <c r="F87" s="9">
        <v>330.68678160919501</v>
      </c>
      <c r="G87" s="9">
        <v>332.11614022202599</v>
      </c>
      <c r="H87" s="9">
        <v>308.33170518670102</v>
      </c>
      <c r="I87" s="9">
        <v>357.04310826373899</v>
      </c>
      <c r="J87" s="9">
        <v>314.64392153527302</v>
      </c>
      <c r="K87" s="9">
        <v>345.10135436068299</v>
      </c>
      <c r="L87" s="9">
        <v>350.41424394656099</v>
      </c>
      <c r="M87" s="9">
        <v>385.49821513084999</v>
      </c>
      <c r="N87" s="9">
        <v>324.04550790149801</v>
      </c>
      <c r="O87" s="9">
        <v>328.37570621468899</v>
      </c>
      <c r="P87" s="9">
        <v>290.32203389830499</v>
      </c>
      <c r="Q87" s="9">
        <v>303.516949152542</v>
      </c>
      <c r="R87" s="9">
        <v>0</v>
      </c>
      <c r="S87" s="9">
        <v>0</v>
      </c>
      <c r="T87" s="9">
        <v>0</v>
      </c>
      <c r="U87" s="9">
        <v>0.704452054794521</v>
      </c>
      <c r="V87" s="9">
        <v>11.597954802259901</v>
      </c>
      <c r="W87" s="9">
        <v>30.023600035871201</v>
      </c>
      <c r="X87" s="9">
        <v>27.0354819103765</v>
      </c>
      <c r="Y87" s="9">
        <v>0</v>
      </c>
      <c r="Z87" s="9">
        <v>0</v>
      </c>
      <c r="AA87" s="9">
        <v>0.78571428571428603</v>
      </c>
      <c r="AB87" s="9">
        <v>0.91</v>
      </c>
      <c r="AC87" s="9">
        <v>1.2325581395348799</v>
      </c>
      <c r="AD87" s="9">
        <v>1.20588235294118</v>
      </c>
      <c r="AE87" s="9">
        <v>1.1040000000000001</v>
      </c>
      <c r="AF87" s="9">
        <v>0.93577981651376196</v>
      </c>
      <c r="AG87" s="9">
        <v>1.13953488372093</v>
      </c>
      <c r="AH87" s="9">
        <v>0</v>
      </c>
      <c r="AI87" s="9">
        <v>0</v>
      </c>
      <c r="AJ87" s="9">
        <v>0</v>
      </c>
      <c r="AK87" s="9">
        <v>0.96666666666666701</v>
      </c>
      <c r="AL87" s="9">
        <v>0.1</v>
      </c>
      <c r="AM87" s="9">
        <v>3.1333333333333302</v>
      </c>
      <c r="AN87" s="9">
        <v>0.5</v>
      </c>
      <c r="AO87" s="9">
        <v>0.5</v>
      </c>
      <c r="AP87" s="9">
        <v>0.43333333333333302</v>
      </c>
      <c r="AQ87" s="9">
        <v>12.656862745098</v>
      </c>
      <c r="AR87" s="9">
        <v>12.431372549019599</v>
      </c>
      <c r="AS87" s="9">
        <v>12.3352941176471</v>
      </c>
      <c r="AT87" s="9">
        <v>15.5294117647059</v>
      </c>
      <c r="AU87" s="9">
        <v>21.7803921568627</v>
      </c>
      <c r="AV87" s="9">
        <v>14.407843137254901</v>
      </c>
      <c r="AW87" s="9">
        <v>2.59607843137255</v>
      </c>
      <c r="AX87" s="9">
        <f t="shared" si="28"/>
        <v>4526.8793091187972</v>
      </c>
      <c r="AY87" s="9">
        <f t="shared" si="29"/>
        <v>1195.2223928515771</v>
      </c>
      <c r="AZ87" s="9">
        <f t="shared" si="30"/>
        <v>1447.8316389393935</v>
      </c>
      <c r="BA87" s="9">
        <f t="shared" si="31"/>
        <v>2276.9649021016094</v>
      </c>
      <c r="BB87" s="9">
        <f t="shared" si="32"/>
        <v>2249.9144070171869</v>
      </c>
      <c r="BC87" s="19"/>
      <c r="BD87" s="9">
        <v>1677</v>
      </c>
      <c r="BF87" s="252">
        <v>1578</v>
      </c>
      <c r="BH87" s="252">
        <v>582</v>
      </c>
      <c r="BI87" s="252">
        <f t="shared" si="33"/>
        <v>582</v>
      </c>
      <c r="BJ87" s="252">
        <f t="shared" si="23"/>
        <v>4137.2680812151648</v>
      </c>
      <c r="BK87" s="256">
        <f t="shared" si="25"/>
        <v>582</v>
      </c>
      <c r="BP87" s="252">
        <v>15</v>
      </c>
      <c r="BQ87" s="252">
        <f t="shared" si="34"/>
        <v>15</v>
      </c>
      <c r="BR87" s="256">
        <f t="shared" si="35"/>
        <v>4137.2680812151648</v>
      </c>
      <c r="BS87" s="255">
        <f t="shared" si="26"/>
        <v>15</v>
      </c>
      <c r="BU87" s="252">
        <v>312</v>
      </c>
      <c r="BW87" s="9">
        <v>73</v>
      </c>
      <c r="BX87" s="9">
        <v>334</v>
      </c>
      <c r="BY87" s="9">
        <v>370</v>
      </c>
      <c r="BZ87" s="9">
        <v>353</v>
      </c>
      <c r="CA87" s="9">
        <v>354</v>
      </c>
      <c r="CB87" s="9">
        <v>321</v>
      </c>
      <c r="CC87" s="9">
        <v>380</v>
      </c>
      <c r="CD87" s="9">
        <v>331</v>
      </c>
      <c r="CE87" s="9">
        <v>394</v>
      </c>
      <c r="CF87" s="9">
        <v>374</v>
      </c>
      <c r="CG87" s="9">
        <v>399</v>
      </c>
      <c r="CH87" s="9">
        <v>355</v>
      </c>
      <c r="CI87" s="9">
        <v>367</v>
      </c>
      <c r="CJ87" s="9">
        <v>347</v>
      </c>
      <c r="CK87" s="23">
        <f t="shared" si="36"/>
        <v>4536.3426470588238</v>
      </c>
      <c r="CL87">
        <f t="shared" si="37"/>
        <v>1244</v>
      </c>
      <c r="CM87">
        <f t="shared" si="38"/>
        <v>1482.7200980392156</v>
      </c>
      <c r="CN87" s="23">
        <f t="shared" si="39"/>
        <v>2279.1642156862745</v>
      </c>
      <c r="CO87">
        <f t="shared" si="20"/>
        <v>2257.1784313725489</v>
      </c>
      <c r="CQ87" s="23">
        <f t="shared" si="40"/>
        <v>2446.1642156862745</v>
      </c>
      <c r="CR87" s="23">
        <f t="shared" si="41"/>
        <v>2257.1784313725489</v>
      </c>
    </row>
    <row r="88" spans="1:96" ht="29.25">
      <c r="A88" t="str">
        <f t="shared" si="24"/>
        <v>341</v>
      </c>
      <c r="B88">
        <f t="shared" si="27"/>
        <v>341</v>
      </c>
      <c r="C88" s="14" t="s">
        <v>95</v>
      </c>
      <c r="D88" s="11"/>
      <c r="E88" s="9">
        <f>SUM(40.796511627907*0.5)</f>
        <v>20.398255813953501</v>
      </c>
      <c r="F88" s="9">
        <v>46.154069767441896</v>
      </c>
      <c r="G88" s="9">
        <v>34.671511627907002</v>
      </c>
      <c r="H88" s="9">
        <v>32.625</v>
      </c>
      <c r="I88" s="9">
        <v>37.671511627907002</v>
      </c>
      <c r="J88" s="9">
        <v>35.5</v>
      </c>
      <c r="K88" s="9">
        <v>50.281976744185997</v>
      </c>
      <c r="L88" s="9">
        <v>34.218023255814003</v>
      </c>
      <c r="M88" s="9">
        <v>37.360465116279101</v>
      </c>
      <c r="N88" s="9">
        <v>25.8779069767442</v>
      </c>
      <c r="O88" s="9">
        <v>20.191860465116299</v>
      </c>
      <c r="P88" s="9">
        <v>29.581395348837201</v>
      </c>
      <c r="Q88" s="9">
        <v>18.5290697674419</v>
      </c>
      <c r="R88" s="9">
        <v>0</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9">
        <v>0</v>
      </c>
      <c r="AO88" s="9">
        <v>0</v>
      </c>
      <c r="AP88" s="9">
        <v>0</v>
      </c>
      <c r="AQ88" s="9">
        <v>0</v>
      </c>
      <c r="AR88" s="9">
        <v>0</v>
      </c>
      <c r="AS88" s="9">
        <v>0</v>
      </c>
      <c r="AT88" s="9">
        <v>0</v>
      </c>
      <c r="AU88" s="9">
        <v>0</v>
      </c>
      <c r="AV88" s="9">
        <v>0</v>
      </c>
      <c r="AW88" s="9">
        <v>0</v>
      </c>
      <c r="AX88" s="9">
        <f t="shared" si="28"/>
        <v>444.21409883720952</v>
      </c>
      <c r="AY88" s="9">
        <f t="shared" si="29"/>
        <v>140.54127906976751</v>
      </c>
      <c r="AZ88" s="9">
        <f t="shared" si="30"/>
        <v>98.889244186046582</v>
      </c>
      <c r="BA88" s="9">
        <f t="shared" si="31"/>
        <v>270.1674418604652</v>
      </c>
      <c r="BB88" s="9">
        <f t="shared" si="32"/>
        <v>174.04665697674434</v>
      </c>
      <c r="BC88" s="19"/>
      <c r="BD88" s="9">
        <v>436</v>
      </c>
      <c r="BF88" s="257">
        <v>216.7</v>
      </c>
      <c r="BH88" s="252">
        <v>102</v>
      </c>
      <c r="BI88" s="252">
        <f t="shared" si="33"/>
        <v>102</v>
      </c>
      <c r="BJ88" s="252">
        <f t="shared" si="23"/>
        <v>423.06104651162809</v>
      </c>
      <c r="BK88" s="256">
        <f t="shared" si="25"/>
        <v>102</v>
      </c>
      <c r="BP88" s="252">
        <v>0</v>
      </c>
      <c r="BQ88" s="252">
        <f t="shared" si="34"/>
        <v>0</v>
      </c>
      <c r="BR88" s="256">
        <f t="shared" si="35"/>
        <v>423.06104651162809</v>
      </c>
      <c r="BS88" s="255">
        <f t="shared" si="26"/>
        <v>0</v>
      </c>
      <c r="BU88" s="252">
        <v>21</v>
      </c>
      <c r="BW88" s="9">
        <v>11</v>
      </c>
      <c r="BX88" s="9">
        <v>45</v>
      </c>
      <c r="BY88" s="9">
        <v>39</v>
      </c>
      <c r="BZ88" s="9">
        <v>50</v>
      </c>
      <c r="CA88" s="9">
        <v>37</v>
      </c>
      <c r="CB88" s="9">
        <v>32</v>
      </c>
      <c r="CC88" s="9">
        <v>40</v>
      </c>
      <c r="CD88" s="9">
        <v>39</v>
      </c>
      <c r="CE88" s="9">
        <v>52</v>
      </c>
      <c r="CF88" s="9">
        <v>41</v>
      </c>
      <c r="CG88" s="9">
        <v>38</v>
      </c>
      <c r="CH88" s="9">
        <v>30</v>
      </c>
      <c r="CI88" s="9">
        <v>24</v>
      </c>
      <c r="CJ88" s="9">
        <v>37</v>
      </c>
      <c r="CK88" s="23">
        <f t="shared" si="36"/>
        <v>481.5</v>
      </c>
      <c r="CL88">
        <f t="shared" si="37"/>
        <v>148.5</v>
      </c>
      <c r="CM88">
        <f t="shared" si="38"/>
        <v>129</v>
      </c>
      <c r="CN88" s="23">
        <f t="shared" si="39"/>
        <v>259.5</v>
      </c>
      <c r="CO88">
        <f t="shared" si="20"/>
        <v>222</v>
      </c>
      <c r="CQ88" s="23">
        <f t="shared" si="40"/>
        <v>282</v>
      </c>
      <c r="CR88" s="23">
        <f t="shared" si="41"/>
        <v>222</v>
      </c>
    </row>
    <row r="89" spans="1:96" ht="29.25">
      <c r="A89" t="str">
        <f t="shared" si="24"/>
        <v>342</v>
      </c>
      <c r="B89">
        <f t="shared" si="27"/>
        <v>342</v>
      </c>
      <c r="C89" s="14" t="s">
        <v>96</v>
      </c>
      <c r="D89" s="11"/>
      <c r="E89" s="9">
        <f>SUM(6.11034482758621*0.5)</f>
        <v>3.0551724137931049</v>
      </c>
      <c r="F89" s="9">
        <v>7.1931034482758598</v>
      </c>
      <c r="G89" s="9">
        <v>6.1689655172413804</v>
      </c>
      <c r="H89" s="9">
        <v>12.5103448275862</v>
      </c>
      <c r="I89" s="9">
        <v>4.5517241379310303</v>
      </c>
      <c r="J89" s="9">
        <v>5.7068965517241397</v>
      </c>
      <c r="K89" s="9">
        <v>4.3620689655172402</v>
      </c>
      <c r="L89" s="9">
        <v>7.4620689655172399</v>
      </c>
      <c r="M89" s="9">
        <v>10.031034482758599</v>
      </c>
      <c r="N89" s="9">
        <v>9.6724137931034502</v>
      </c>
      <c r="O89" s="9">
        <v>7.0241379310344803</v>
      </c>
      <c r="P89" s="9">
        <v>6.0620689655172404</v>
      </c>
      <c r="Q89" s="9">
        <v>2.8793103448275899</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0</v>
      </c>
      <c r="AN89" s="9">
        <v>0</v>
      </c>
      <c r="AO89" s="9">
        <v>0</v>
      </c>
      <c r="AP89" s="9">
        <v>0</v>
      </c>
      <c r="AQ89" s="9">
        <v>0</v>
      </c>
      <c r="AR89" s="9">
        <v>0</v>
      </c>
      <c r="AS89" s="9">
        <v>0</v>
      </c>
      <c r="AT89" s="9">
        <v>0</v>
      </c>
      <c r="AU89" s="9">
        <v>0</v>
      </c>
      <c r="AV89" s="9">
        <v>0</v>
      </c>
      <c r="AW89" s="9">
        <v>0</v>
      </c>
      <c r="AX89" s="9">
        <f t="shared" si="28"/>
        <v>91.013275862068937</v>
      </c>
      <c r="AY89" s="9">
        <f t="shared" si="29"/>
        <v>30.373965517241377</v>
      </c>
      <c r="AZ89" s="9">
        <f t="shared" si="30"/>
        <v>26.9198275862069</v>
      </c>
      <c r="BA89" s="9">
        <f t="shared" si="31"/>
        <v>45.72568965517241</v>
      </c>
      <c r="BB89" s="9">
        <f t="shared" si="32"/>
        <v>45.287586206896535</v>
      </c>
      <c r="BC89" s="19"/>
      <c r="BD89" s="9">
        <v>58</v>
      </c>
      <c r="BF89" s="252">
        <v>50</v>
      </c>
      <c r="BH89" s="252">
        <v>17</v>
      </c>
      <c r="BI89" s="252">
        <f t="shared" si="33"/>
        <v>17</v>
      </c>
      <c r="BJ89" s="252">
        <f t="shared" si="23"/>
        <v>86.679310344827556</v>
      </c>
      <c r="BK89" s="256">
        <f t="shared" si="25"/>
        <v>17</v>
      </c>
      <c r="BP89" s="252">
        <v>0</v>
      </c>
      <c r="BQ89" s="252">
        <f t="shared" si="34"/>
        <v>0</v>
      </c>
      <c r="BR89" s="256">
        <f t="shared" si="35"/>
        <v>86.679310344827556</v>
      </c>
      <c r="BS89" s="255">
        <f t="shared" si="26"/>
        <v>0</v>
      </c>
      <c r="BU89" s="252">
        <v>0</v>
      </c>
      <c r="BW89" s="9">
        <v>1</v>
      </c>
      <c r="BX89" s="9">
        <v>6</v>
      </c>
      <c r="BY89" s="9">
        <v>7</v>
      </c>
      <c r="BZ89" s="9">
        <v>7</v>
      </c>
      <c r="CA89" s="9">
        <v>6</v>
      </c>
      <c r="CB89" s="9">
        <v>12</v>
      </c>
      <c r="CC89" s="9">
        <v>4</v>
      </c>
      <c r="CD89" s="9">
        <v>5</v>
      </c>
      <c r="CE89" s="9">
        <v>5</v>
      </c>
      <c r="CF89" s="9">
        <v>7</v>
      </c>
      <c r="CG89" s="9">
        <v>9</v>
      </c>
      <c r="CH89" s="9">
        <v>10</v>
      </c>
      <c r="CI89" s="9">
        <v>4</v>
      </c>
      <c r="CJ89" s="9">
        <v>6</v>
      </c>
      <c r="CK89" s="23">
        <f t="shared" si="36"/>
        <v>85</v>
      </c>
      <c r="CL89">
        <f t="shared" si="37"/>
        <v>23</v>
      </c>
      <c r="CM89">
        <f t="shared" si="38"/>
        <v>29</v>
      </c>
      <c r="CN89" s="23">
        <f t="shared" si="39"/>
        <v>44</v>
      </c>
      <c r="CO89">
        <f t="shared" si="20"/>
        <v>100</v>
      </c>
      <c r="CQ89" s="23">
        <f t="shared" si="40"/>
        <v>47</v>
      </c>
      <c r="CR89" s="23">
        <f t="shared" si="41"/>
        <v>41</v>
      </c>
    </row>
    <row r="90" spans="1:96" ht="29.25">
      <c r="A90" t="str">
        <f t="shared" si="24"/>
        <v>351</v>
      </c>
      <c r="B90">
        <f t="shared" si="27"/>
        <v>351</v>
      </c>
      <c r="C90" s="14" t="s">
        <v>97</v>
      </c>
      <c r="D90" s="11"/>
      <c r="E90" s="9">
        <f>SUM(135.681001604955*0.5)</f>
        <v>67.840500802477493</v>
      </c>
      <c r="F90" s="9">
        <v>130.381143325842</v>
      </c>
      <c r="G90" s="9">
        <v>137.02504048068499</v>
      </c>
      <c r="H90" s="9">
        <v>134.00774509053301</v>
      </c>
      <c r="I90" s="9">
        <v>151.01199597051399</v>
      </c>
      <c r="J90" s="9">
        <v>118.28530661620999</v>
      </c>
      <c r="K90" s="9">
        <v>108.410761423346</v>
      </c>
      <c r="L90" s="9">
        <v>95.613096343383006</v>
      </c>
      <c r="M90" s="9">
        <v>77.229113795026507</v>
      </c>
      <c r="N90" s="9">
        <v>61.537162162162197</v>
      </c>
      <c r="O90" s="9">
        <v>42.635135135135101</v>
      </c>
      <c r="P90" s="9">
        <v>51.020270270270302</v>
      </c>
      <c r="Q90" s="9">
        <v>50.929054054054099</v>
      </c>
      <c r="R90" s="9">
        <v>0</v>
      </c>
      <c r="S90" s="9">
        <v>0</v>
      </c>
      <c r="T90" s="9">
        <v>0</v>
      </c>
      <c r="U90" s="9">
        <v>1</v>
      </c>
      <c r="V90" s="9">
        <v>2.1770833333333299</v>
      </c>
      <c r="W90" s="9">
        <v>3.79388888888889</v>
      </c>
      <c r="X90" s="9">
        <v>5.2130555555555604</v>
      </c>
      <c r="Y90" s="9">
        <v>0</v>
      </c>
      <c r="Z90" s="9">
        <v>0</v>
      </c>
      <c r="AA90" s="9">
        <v>0</v>
      </c>
      <c r="AB90" s="9">
        <v>0</v>
      </c>
      <c r="AC90" s="9">
        <v>0</v>
      </c>
      <c r="AD90" s="9">
        <v>0</v>
      </c>
      <c r="AE90" s="9">
        <v>0</v>
      </c>
      <c r="AF90" s="9">
        <v>0</v>
      </c>
      <c r="AG90" s="9">
        <v>0</v>
      </c>
      <c r="AH90" s="9">
        <v>0</v>
      </c>
      <c r="AI90" s="9">
        <v>0</v>
      </c>
      <c r="AJ90" s="9">
        <v>0</v>
      </c>
      <c r="AK90" s="9">
        <v>0</v>
      </c>
      <c r="AL90" s="9">
        <v>0</v>
      </c>
      <c r="AM90" s="9">
        <v>0</v>
      </c>
      <c r="AN90" s="9">
        <v>0</v>
      </c>
      <c r="AO90" s="9">
        <v>0</v>
      </c>
      <c r="AP90" s="9">
        <v>0</v>
      </c>
      <c r="AQ90" s="9">
        <v>0</v>
      </c>
      <c r="AR90" s="9">
        <v>0</v>
      </c>
      <c r="AS90" s="9">
        <v>0</v>
      </c>
      <c r="AT90" s="9">
        <v>0</v>
      </c>
      <c r="AU90" s="9">
        <v>0</v>
      </c>
      <c r="AV90" s="9">
        <v>0</v>
      </c>
      <c r="AW90" s="9">
        <v>0</v>
      </c>
      <c r="AX90" s="9">
        <f t="shared" si="28"/>
        <v>1300.0158709097871</v>
      </c>
      <c r="AY90" s="9">
        <f t="shared" si="29"/>
        <v>492.71715118451436</v>
      </c>
      <c r="AZ90" s="9">
        <f t="shared" si="30"/>
        <v>229.22093186936945</v>
      </c>
      <c r="BA90" s="9">
        <f t="shared" si="31"/>
        <v>889.310618395088</v>
      </c>
      <c r="BB90" s="9">
        <f t="shared" si="32"/>
        <v>410.70525251469951</v>
      </c>
      <c r="BC90" s="19"/>
      <c r="BD90" s="9">
        <v>365</v>
      </c>
      <c r="BF90" s="252">
        <v>1902</v>
      </c>
      <c r="BH90" s="252">
        <v>130</v>
      </c>
      <c r="BI90" s="252">
        <f t="shared" si="33"/>
        <v>130</v>
      </c>
      <c r="BJ90" s="252">
        <f t="shared" si="23"/>
        <v>1225.9263254696386</v>
      </c>
      <c r="BK90" s="256">
        <f t="shared" si="25"/>
        <v>130</v>
      </c>
      <c r="BP90" s="252">
        <v>6</v>
      </c>
      <c r="BQ90" s="252">
        <f t="shared" si="34"/>
        <v>6</v>
      </c>
      <c r="BR90" s="256">
        <f t="shared" si="35"/>
        <v>1225.9263254696386</v>
      </c>
      <c r="BS90" s="255">
        <f t="shared" si="26"/>
        <v>6</v>
      </c>
      <c r="BU90" s="252">
        <v>83</v>
      </c>
      <c r="BW90" s="9">
        <v>1</v>
      </c>
      <c r="BX90" s="9">
        <v>224</v>
      </c>
      <c r="BY90" s="9">
        <v>269</v>
      </c>
      <c r="BZ90" s="9">
        <v>277</v>
      </c>
      <c r="CA90" s="9">
        <v>243</v>
      </c>
      <c r="CB90" s="9">
        <v>255</v>
      </c>
      <c r="CC90" s="9">
        <v>260</v>
      </c>
      <c r="CD90" s="9">
        <v>234</v>
      </c>
      <c r="CE90" s="9">
        <v>202</v>
      </c>
      <c r="CF90" s="9">
        <v>197</v>
      </c>
      <c r="CG90" s="9">
        <v>70</v>
      </c>
      <c r="CH90" s="9">
        <v>43</v>
      </c>
      <c r="CI90" s="9">
        <v>58</v>
      </c>
      <c r="CJ90" s="9">
        <v>53</v>
      </c>
      <c r="CK90" s="23">
        <f t="shared" si="36"/>
        <v>2273</v>
      </c>
      <c r="CL90">
        <f t="shared" si="37"/>
        <v>901</v>
      </c>
      <c r="CM90">
        <f t="shared" si="38"/>
        <v>224</v>
      </c>
      <c r="CN90" s="23">
        <f t="shared" si="39"/>
        <v>1650</v>
      </c>
      <c r="CO90">
        <f t="shared" si="20"/>
        <v>623</v>
      </c>
      <c r="CQ90" s="23">
        <f t="shared" si="40"/>
        <v>1762</v>
      </c>
      <c r="CR90" s="23">
        <f t="shared" si="41"/>
        <v>623</v>
      </c>
    </row>
    <row r="91" spans="1:96" ht="29.25">
      <c r="A91" t="str">
        <f t="shared" si="24"/>
        <v>363</v>
      </c>
      <c r="B91">
        <f t="shared" si="27"/>
        <v>363</v>
      </c>
      <c r="C91" s="14" t="s">
        <v>98</v>
      </c>
      <c r="D91" s="11"/>
      <c r="E91" s="9">
        <f>SUM(61.2585034013605*0.5)</f>
        <v>30.62925170068025</v>
      </c>
      <c r="F91" s="9">
        <v>54.782312925170103</v>
      </c>
      <c r="G91" s="9">
        <v>50.340136054421798</v>
      </c>
      <c r="H91" s="9">
        <v>63.578231292517003</v>
      </c>
      <c r="I91" s="9">
        <v>67.982993197278901</v>
      </c>
      <c r="J91" s="9">
        <v>60.809523809523803</v>
      </c>
      <c r="K91" s="9">
        <v>60.1020408163265</v>
      </c>
      <c r="L91" s="9">
        <v>67.1666666666667</v>
      </c>
      <c r="M91" s="9">
        <v>66.540816326530603</v>
      </c>
      <c r="N91" s="9">
        <v>73.503401360544203</v>
      </c>
      <c r="O91" s="9">
        <v>49.115646258503403</v>
      </c>
      <c r="P91" s="9">
        <v>58.867346938775498</v>
      </c>
      <c r="Q91" s="9">
        <v>46.707482993197303</v>
      </c>
      <c r="R91" s="9">
        <v>0</v>
      </c>
      <c r="S91" s="9">
        <v>0</v>
      </c>
      <c r="T91" s="9">
        <v>0</v>
      </c>
      <c r="U91" s="9">
        <v>0</v>
      </c>
      <c r="V91" s="9">
        <v>0</v>
      </c>
      <c r="W91" s="9">
        <v>0</v>
      </c>
      <c r="X91" s="9">
        <v>0</v>
      </c>
      <c r="Y91" s="9">
        <v>0</v>
      </c>
      <c r="Z91" s="9">
        <v>0</v>
      </c>
      <c r="AA91" s="9">
        <v>0</v>
      </c>
      <c r="AB91" s="9">
        <v>0</v>
      </c>
      <c r="AC91" s="9">
        <v>0</v>
      </c>
      <c r="AD91" s="9">
        <v>0</v>
      </c>
      <c r="AE91" s="9">
        <v>0</v>
      </c>
      <c r="AF91" s="9">
        <v>0</v>
      </c>
      <c r="AG91" s="9">
        <v>0</v>
      </c>
      <c r="AH91" s="9">
        <v>0</v>
      </c>
      <c r="AI91" s="9">
        <v>0</v>
      </c>
      <c r="AJ91" s="9">
        <v>0</v>
      </c>
      <c r="AK91" s="9">
        <v>0</v>
      </c>
      <c r="AL91" s="9">
        <v>0</v>
      </c>
      <c r="AM91" s="9">
        <v>0</v>
      </c>
      <c r="AN91" s="9">
        <v>0</v>
      </c>
      <c r="AO91" s="9">
        <v>0</v>
      </c>
      <c r="AP91" s="9">
        <v>0</v>
      </c>
      <c r="AQ91" s="9">
        <v>0</v>
      </c>
      <c r="AR91" s="9">
        <v>0</v>
      </c>
      <c r="AS91" s="9">
        <v>0</v>
      </c>
      <c r="AT91" s="9">
        <v>0</v>
      </c>
      <c r="AU91" s="9">
        <v>0</v>
      </c>
      <c r="AV91" s="9">
        <v>0</v>
      </c>
      <c r="AW91" s="9">
        <v>0</v>
      </c>
      <c r="AX91" s="9">
        <f t="shared" si="28"/>
        <v>787.63214285714298</v>
      </c>
      <c r="AY91" s="9">
        <f t="shared" si="29"/>
        <v>209.29642857142863</v>
      </c>
      <c r="AZ91" s="9">
        <f t="shared" si="30"/>
        <v>239.60357142857146</v>
      </c>
      <c r="BA91" s="9">
        <f t="shared" si="31"/>
        <v>407.6357142857143</v>
      </c>
      <c r="BB91" s="9">
        <f t="shared" si="32"/>
        <v>379.99642857142862</v>
      </c>
      <c r="BC91" s="19"/>
      <c r="BD91" s="9">
        <v>539</v>
      </c>
      <c r="BF91" s="252">
        <v>561</v>
      </c>
      <c r="BH91" s="252">
        <v>73</v>
      </c>
      <c r="BI91" s="252">
        <f t="shared" si="33"/>
        <v>73</v>
      </c>
      <c r="BJ91" s="252">
        <f t="shared" si="23"/>
        <v>750.12585034013614</v>
      </c>
      <c r="BK91" s="256">
        <f t="shared" si="25"/>
        <v>73</v>
      </c>
      <c r="BP91" s="252">
        <v>143</v>
      </c>
      <c r="BQ91" s="252">
        <f t="shared" si="34"/>
        <v>143</v>
      </c>
      <c r="BR91" s="256">
        <f t="shared" si="35"/>
        <v>750.12585034013614</v>
      </c>
      <c r="BS91" s="255">
        <f t="shared" si="26"/>
        <v>143</v>
      </c>
      <c r="BU91" s="252">
        <v>33</v>
      </c>
      <c r="BW91" s="9">
        <v>0</v>
      </c>
      <c r="BX91" s="9">
        <v>55</v>
      </c>
      <c r="BY91" s="9">
        <v>68</v>
      </c>
      <c r="BZ91" s="9">
        <v>59</v>
      </c>
      <c r="CA91" s="9">
        <v>63</v>
      </c>
      <c r="CB91" s="9">
        <v>60</v>
      </c>
      <c r="CC91" s="9">
        <v>76</v>
      </c>
      <c r="CD91" s="9">
        <v>69</v>
      </c>
      <c r="CE91" s="9">
        <v>67</v>
      </c>
      <c r="CF91" s="9">
        <v>72</v>
      </c>
      <c r="CG91" s="9">
        <v>85</v>
      </c>
      <c r="CH91" s="9">
        <v>61</v>
      </c>
      <c r="CI91" s="9">
        <v>59</v>
      </c>
      <c r="CJ91" s="9">
        <v>60</v>
      </c>
      <c r="CK91" s="23">
        <f t="shared" si="36"/>
        <v>826.5</v>
      </c>
      <c r="CL91">
        <f t="shared" si="37"/>
        <v>217.5</v>
      </c>
      <c r="CM91">
        <f t="shared" si="38"/>
        <v>265</v>
      </c>
      <c r="CN91" s="23">
        <f t="shared" si="39"/>
        <v>422.5</v>
      </c>
      <c r="CO91">
        <f t="shared" si="20"/>
        <v>404</v>
      </c>
      <c r="CQ91" s="23">
        <f t="shared" si="40"/>
        <v>450</v>
      </c>
      <c r="CR91" s="23">
        <f t="shared" si="41"/>
        <v>404</v>
      </c>
    </row>
    <row r="92" spans="1:96" ht="29.25">
      <c r="A92" t="str">
        <f t="shared" si="24"/>
        <v>364</v>
      </c>
      <c r="B92">
        <f t="shared" si="27"/>
        <v>364</v>
      </c>
      <c r="C92" s="14" t="s">
        <v>99</v>
      </c>
      <c r="D92" s="11"/>
      <c r="E92" s="9">
        <f>SUM(2.87323943661972*0.5)</f>
        <v>1.4366197183098599</v>
      </c>
      <c r="F92" s="9">
        <v>0.95070422535211296</v>
      </c>
      <c r="G92" s="9">
        <v>0.95774647887323905</v>
      </c>
      <c r="H92" s="9">
        <v>0.96478873239436602</v>
      </c>
      <c r="I92" s="9">
        <v>1.9366197183098599</v>
      </c>
      <c r="J92" s="9">
        <v>0</v>
      </c>
      <c r="K92" s="9">
        <v>1.94366197183099</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9">
        <v>0</v>
      </c>
      <c r="AO92" s="9">
        <v>0</v>
      </c>
      <c r="AP92" s="9">
        <v>0</v>
      </c>
      <c r="AQ92" s="9">
        <v>0</v>
      </c>
      <c r="AR92" s="9">
        <v>0</v>
      </c>
      <c r="AS92" s="9">
        <v>0</v>
      </c>
      <c r="AT92" s="9">
        <v>0</v>
      </c>
      <c r="AU92" s="9">
        <v>0</v>
      </c>
      <c r="AV92" s="9">
        <v>0</v>
      </c>
      <c r="AW92" s="9">
        <v>0</v>
      </c>
      <c r="AX92" s="9">
        <f t="shared" si="28"/>
        <v>8.5996478873239486</v>
      </c>
      <c r="AY92" s="9">
        <f t="shared" si="29"/>
        <v>4.5253521126760567</v>
      </c>
      <c r="AZ92" s="9">
        <f t="shared" si="30"/>
        <v>0</v>
      </c>
      <c r="BA92" s="9">
        <f t="shared" si="31"/>
        <v>8.5996478873239486</v>
      </c>
      <c r="BB92" s="9">
        <f t="shared" si="32"/>
        <v>0</v>
      </c>
      <c r="BC92" s="19"/>
      <c r="BD92" s="198">
        <v>2.66</v>
      </c>
      <c r="BF92" s="257">
        <v>2.58</v>
      </c>
      <c r="BH92" s="252" t="e">
        <v>#N/A</v>
      </c>
      <c r="BI92" s="252" t="str">
        <f t="shared" si="33"/>
        <v/>
      </c>
      <c r="BJ92" s="252" t="str">
        <f t="shared" si="23"/>
        <v/>
      </c>
      <c r="BK92" s="256">
        <f t="shared" si="25"/>
        <v>1.0160932441191366</v>
      </c>
      <c r="BP92" s="252">
        <v>0</v>
      </c>
      <c r="BQ92" s="252">
        <f t="shared" si="34"/>
        <v>0</v>
      </c>
      <c r="BR92" s="256">
        <f t="shared" si="35"/>
        <v>8.1901408450704274</v>
      </c>
      <c r="BS92" s="255">
        <f t="shared" si="26"/>
        <v>0</v>
      </c>
      <c r="BU92" s="252">
        <v>0</v>
      </c>
      <c r="BW92" s="9">
        <v>0</v>
      </c>
      <c r="BX92" s="9">
        <v>0</v>
      </c>
      <c r="BY92" s="9">
        <v>3</v>
      </c>
      <c r="BZ92" s="9">
        <v>0</v>
      </c>
      <c r="CA92" s="9">
        <v>1</v>
      </c>
      <c r="CB92" s="9">
        <v>1</v>
      </c>
      <c r="CC92" s="9">
        <v>1</v>
      </c>
      <c r="CD92" s="9">
        <v>0</v>
      </c>
      <c r="CE92" s="9">
        <v>0</v>
      </c>
      <c r="CF92" s="9">
        <v>0</v>
      </c>
      <c r="CG92" s="9">
        <v>0</v>
      </c>
      <c r="CH92" s="9">
        <v>0</v>
      </c>
      <c r="CI92" s="9">
        <v>0</v>
      </c>
      <c r="CJ92" s="9">
        <v>0</v>
      </c>
      <c r="CK92" s="23">
        <f t="shared" si="36"/>
        <v>6</v>
      </c>
      <c r="CL92">
        <f t="shared" si="37"/>
        <v>4</v>
      </c>
      <c r="CM92">
        <f t="shared" si="38"/>
        <v>0</v>
      </c>
      <c r="CN92" s="23">
        <f t="shared" si="39"/>
        <v>6</v>
      </c>
      <c r="CO92" s="176">
        <f>SUM(CE92:CJ92)+((AK92+AL92+AM92+AN92+AO92+AP92+AR92+AS92+AT92+AU92+AV92+AW92)*0.25)</f>
        <v>0</v>
      </c>
      <c r="CQ92" s="23">
        <f t="shared" si="40"/>
        <v>6</v>
      </c>
      <c r="CR92" s="23">
        <f t="shared" si="41"/>
        <v>0</v>
      </c>
    </row>
    <row r="93" spans="1:96" ht="43.5">
      <c r="A93" t="str">
        <f t="shared" si="24"/>
        <v>365</v>
      </c>
      <c r="B93">
        <f t="shared" si="27"/>
        <v>365</v>
      </c>
      <c r="C93" s="14" t="s">
        <v>100</v>
      </c>
      <c r="D93" s="11"/>
      <c r="E93" s="9">
        <f>SUM(14.2915173338862*0.5)</f>
        <v>7.1457586669430997</v>
      </c>
      <c r="F93" s="9">
        <v>24.2937062937063</v>
      </c>
      <c r="G93" s="9">
        <v>17</v>
      </c>
      <c r="H93" s="9">
        <v>25.419580419580399</v>
      </c>
      <c r="I93" s="9">
        <v>22.769230769230798</v>
      </c>
      <c r="J93" s="9">
        <v>28.216783216783199</v>
      </c>
      <c r="K93" s="9">
        <v>20.930069930069902</v>
      </c>
      <c r="L93" s="9">
        <v>28.1993006993007</v>
      </c>
      <c r="M93" s="9">
        <v>27.4020979020979</v>
      </c>
      <c r="N93" s="9">
        <v>21.562937062937099</v>
      </c>
      <c r="O93" s="9">
        <v>24.069930069930098</v>
      </c>
      <c r="P93" s="9">
        <v>16.3496503496504</v>
      </c>
      <c r="Q93" s="9">
        <v>14.0944055944056</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v>0</v>
      </c>
      <c r="AX93" s="9">
        <f t="shared" si="28"/>
        <v>291.32612352336724</v>
      </c>
      <c r="AY93" s="9">
        <f t="shared" si="29"/>
        <v>77.551997649241301</v>
      </c>
      <c r="AZ93" s="9">
        <f t="shared" si="30"/>
        <v>79.88076923076936</v>
      </c>
      <c r="BA93" s="9">
        <f t="shared" si="31"/>
        <v>153.0638857611294</v>
      </c>
      <c r="BB93" s="9">
        <f t="shared" si="32"/>
        <v>138.2622377622379</v>
      </c>
      <c r="BC93" s="19"/>
      <c r="BD93" s="9">
        <v>208</v>
      </c>
      <c r="BF93" s="252">
        <v>180</v>
      </c>
      <c r="BH93" s="252">
        <v>32</v>
      </c>
      <c r="BI93" s="252">
        <f t="shared" si="33"/>
        <v>32</v>
      </c>
      <c r="BJ93" s="252">
        <f t="shared" si="23"/>
        <v>277.45345097463547</v>
      </c>
      <c r="BK93" s="256">
        <f t="shared" si="25"/>
        <v>32</v>
      </c>
      <c r="BP93" s="252">
        <v>53</v>
      </c>
      <c r="BQ93" s="252">
        <f t="shared" si="34"/>
        <v>53</v>
      </c>
      <c r="BR93" s="256">
        <f t="shared" si="35"/>
        <v>277.45345097463547</v>
      </c>
      <c r="BS93" s="255">
        <f t="shared" si="26"/>
        <v>53</v>
      </c>
      <c r="BU93" s="252">
        <v>4</v>
      </c>
      <c r="BW93" s="9">
        <v>3</v>
      </c>
      <c r="BX93" s="9">
        <v>19</v>
      </c>
      <c r="BY93" s="9">
        <v>16</v>
      </c>
      <c r="BZ93" s="9">
        <v>25</v>
      </c>
      <c r="CA93" s="9">
        <v>18</v>
      </c>
      <c r="CB93" s="9">
        <v>25</v>
      </c>
      <c r="CC93" s="9">
        <v>23</v>
      </c>
      <c r="CD93" s="9">
        <v>27</v>
      </c>
      <c r="CE93" s="9">
        <v>21</v>
      </c>
      <c r="CF93" s="9">
        <v>30</v>
      </c>
      <c r="CG93" s="9">
        <v>29</v>
      </c>
      <c r="CH93" s="9">
        <v>23</v>
      </c>
      <c r="CI93" s="9">
        <v>28</v>
      </c>
      <c r="CJ93" s="9">
        <v>16</v>
      </c>
      <c r="CK93" s="23">
        <f t="shared" si="36"/>
        <v>290.5</v>
      </c>
      <c r="CL93">
        <f t="shared" si="37"/>
        <v>68.5</v>
      </c>
      <c r="CM93">
        <f t="shared" si="38"/>
        <v>96</v>
      </c>
      <c r="CN93" s="23">
        <f t="shared" si="39"/>
        <v>143.5</v>
      </c>
      <c r="CO93">
        <f t="shared" si="20"/>
        <v>147</v>
      </c>
      <c r="CQ93" s="23">
        <f t="shared" si="40"/>
        <v>153</v>
      </c>
      <c r="CR93" s="23">
        <f t="shared" si="41"/>
        <v>147</v>
      </c>
    </row>
    <row r="94" spans="1:96" ht="29.25">
      <c r="A94" t="str">
        <f t="shared" si="24"/>
        <v>370</v>
      </c>
      <c r="B94">
        <f t="shared" si="27"/>
        <v>370</v>
      </c>
      <c r="C94" s="14" t="s">
        <v>101</v>
      </c>
      <c r="D94" s="11"/>
      <c r="E94" s="9">
        <f>SUM(86.0748090194307*0.5)</f>
        <v>43.037404509715351</v>
      </c>
      <c r="F94" s="9">
        <v>94.464539007092199</v>
      </c>
      <c r="G94" s="9">
        <v>75.117021276595807</v>
      </c>
      <c r="H94" s="9">
        <v>96.390070921985796</v>
      </c>
      <c r="I94" s="9">
        <v>90.418439716312093</v>
      </c>
      <c r="J94" s="9">
        <v>93.083916083916094</v>
      </c>
      <c r="K94" s="9">
        <v>92.699300699300693</v>
      </c>
      <c r="L94" s="9">
        <v>83.031468531468505</v>
      </c>
      <c r="M94" s="9">
        <v>86.6013986013986</v>
      </c>
      <c r="N94" s="9">
        <v>90.262237762237802</v>
      </c>
      <c r="O94" s="9">
        <v>83.391608391608401</v>
      </c>
      <c r="P94" s="9">
        <v>93.996503496503493</v>
      </c>
      <c r="Q94" s="9">
        <v>79.258741258741296</v>
      </c>
      <c r="R94" s="9">
        <v>0</v>
      </c>
      <c r="S94" s="9">
        <v>0</v>
      </c>
      <c r="T94" s="9">
        <v>0</v>
      </c>
      <c r="U94" s="9">
        <v>0</v>
      </c>
      <c r="V94" s="9">
        <v>0</v>
      </c>
      <c r="W94" s="9">
        <v>0</v>
      </c>
      <c r="X94" s="9">
        <v>0</v>
      </c>
      <c r="Y94" s="9">
        <v>0</v>
      </c>
      <c r="Z94" s="9">
        <v>0</v>
      </c>
      <c r="AA94" s="9">
        <v>0</v>
      </c>
      <c r="AB94" s="9">
        <v>0</v>
      </c>
      <c r="AC94" s="9">
        <v>0</v>
      </c>
      <c r="AD94" s="9">
        <v>0</v>
      </c>
      <c r="AE94" s="9">
        <v>0</v>
      </c>
      <c r="AF94" s="9">
        <v>0</v>
      </c>
      <c r="AG94" s="9">
        <v>0</v>
      </c>
      <c r="AH94" s="9">
        <v>0</v>
      </c>
      <c r="AI94" s="9">
        <v>0</v>
      </c>
      <c r="AJ94" s="9">
        <v>0</v>
      </c>
      <c r="AK94" s="9">
        <v>0</v>
      </c>
      <c r="AL94" s="9">
        <v>0</v>
      </c>
      <c r="AM94" s="9">
        <v>0</v>
      </c>
      <c r="AN94" s="9">
        <v>0</v>
      </c>
      <c r="AO94" s="9">
        <v>0</v>
      </c>
      <c r="AP94" s="9">
        <v>0</v>
      </c>
      <c r="AQ94" s="9">
        <v>0</v>
      </c>
      <c r="AR94" s="9">
        <v>0</v>
      </c>
      <c r="AS94" s="9">
        <v>0</v>
      </c>
      <c r="AT94" s="9">
        <v>0</v>
      </c>
      <c r="AU94" s="9">
        <v>0</v>
      </c>
      <c r="AV94" s="9">
        <v>0</v>
      </c>
      <c r="AW94" s="9">
        <v>0</v>
      </c>
      <c r="AX94" s="9">
        <f t="shared" si="28"/>
        <v>1156.8402827697198</v>
      </c>
      <c r="AY94" s="9">
        <f t="shared" si="29"/>
        <v>324.45948750115861</v>
      </c>
      <c r="AZ94" s="9">
        <f t="shared" si="30"/>
        <v>364.25454545454551</v>
      </c>
      <c r="BA94" s="9">
        <f t="shared" si="31"/>
        <v>614.47122682566396</v>
      </c>
      <c r="BB94" s="9">
        <f t="shared" si="32"/>
        <v>542.36905594405596</v>
      </c>
      <c r="BC94" s="19"/>
      <c r="BD94" s="9">
        <v>793</v>
      </c>
      <c r="BF94" s="252">
        <v>755</v>
      </c>
      <c r="BH94" s="252">
        <v>117</v>
      </c>
      <c r="BI94" s="252">
        <f t="shared" si="33"/>
        <v>117</v>
      </c>
      <c r="BJ94" s="252">
        <f t="shared" si="23"/>
        <v>1101.752650256876</v>
      </c>
      <c r="BK94" s="256">
        <f t="shared" si="25"/>
        <v>117</v>
      </c>
      <c r="BP94" s="252">
        <v>196</v>
      </c>
      <c r="BQ94" s="252">
        <f t="shared" si="34"/>
        <v>196</v>
      </c>
      <c r="BR94" s="256">
        <f t="shared" si="35"/>
        <v>1101.752650256876</v>
      </c>
      <c r="BS94" s="255">
        <f t="shared" si="26"/>
        <v>196</v>
      </c>
      <c r="BU94" s="252">
        <v>39</v>
      </c>
      <c r="BW94" s="9">
        <v>0</v>
      </c>
      <c r="BX94" s="9">
        <v>80</v>
      </c>
      <c r="BY94" s="9">
        <v>108</v>
      </c>
      <c r="BZ94" s="9">
        <v>83</v>
      </c>
      <c r="CA94" s="9">
        <v>81</v>
      </c>
      <c r="CB94" s="9">
        <v>102</v>
      </c>
      <c r="CC94" s="9">
        <v>95</v>
      </c>
      <c r="CD94" s="9">
        <v>101</v>
      </c>
      <c r="CE94" s="9">
        <v>101</v>
      </c>
      <c r="CF94" s="9">
        <v>92</v>
      </c>
      <c r="CG94" s="9">
        <v>90</v>
      </c>
      <c r="CH94" s="9">
        <v>88</v>
      </c>
      <c r="CI94" s="9">
        <v>91</v>
      </c>
      <c r="CJ94" s="9">
        <v>96</v>
      </c>
      <c r="CK94" s="23">
        <f t="shared" si="36"/>
        <v>1168</v>
      </c>
      <c r="CL94">
        <f t="shared" si="37"/>
        <v>312</v>
      </c>
      <c r="CM94">
        <f t="shared" si="38"/>
        <v>365</v>
      </c>
      <c r="CN94" s="23">
        <f t="shared" si="39"/>
        <v>610</v>
      </c>
      <c r="CO94">
        <f t="shared" si="20"/>
        <v>558</v>
      </c>
      <c r="CQ94" s="23">
        <f t="shared" si="40"/>
        <v>650</v>
      </c>
      <c r="CR94" s="23">
        <f t="shared" si="41"/>
        <v>558</v>
      </c>
    </row>
    <row r="95" spans="1:96" ht="29.25">
      <c r="A95" t="str">
        <f t="shared" si="24"/>
        <v>371</v>
      </c>
      <c r="B95">
        <f t="shared" si="27"/>
        <v>371</v>
      </c>
      <c r="C95" s="14" t="s">
        <v>102</v>
      </c>
      <c r="D95" s="11"/>
      <c r="E95" s="9">
        <f>SUM(96.25*0.5)</f>
        <v>48.125</v>
      </c>
      <c r="F95" s="9">
        <v>130.05357142857099</v>
      </c>
      <c r="G95" s="9">
        <v>119.24702380952399</v>
      </c>
      <c r="H95" s="9">
        <v>99.110119047619094</v>
      </c>
      <c r="I95" s="9">
        <v>113.824404761905</v>
      </c>
      <c r="J95" s="9">
        <v>119.66369047619</v>
      </c>
      <c r="K95" s="9">
        <v>105.183431952663</v>
      </c>
      <c r="L95" s="9">
        <v>98.251497005988</v>
      </c>
      <c r="M95" s="9">
        <v>102.51497005988</v>
      </c>
      <c r="N95" s="9">
        <v>119.29041916167699</v>
      </c>
      <c r="O95" s="9">
        <v>94.476047904191603</v>
      </c>
      <c r="P95" s="9">
        <v>92.176646706586794</v>
      </c>
      <c r="Q95" s="9">
        <v>107.65868263473099</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9">
        <v>0</v>
      </c>
      <c r="AN95" s="9">
        <v>0</v>
      </c>
      <c r="AO95" s="9">
        <v>0</v>
      </c>
      <c r="AP95" s="9">
        <v>0</v>
      </c>
      <c r="AQ95" s="9">
        <v>0</v>
      </c>
      <c r="AR95" s="9">
        <v>11.377764705882401</v>
      </c>
      <c r="AS95" s="9">
        <v>7.7366274509803903</v>
      </c>
      <c r="AT95" s="9">
        <v>5.2154901960784299</v>
      </c>
      <c r="AU95" s="9">
        <v>5.1772941176470599</v>
      </c>
      <c r="AV95" s="9">
        <v>3.19545098039216</v>
      </c>
      <c r="AW95" s="9">
        <v>2.97423529411765</v>
      </c>
      <c r="AX95" s="9">
        <f t="shared" si="28"/>
        <v>1454.5149860793558</v>
      </c>
      <c r="AY95" s="9">
        <f t="shared" si="29"/>
        <v>416.36249999999978</v>
      </c>
      <c r="AZ95" s="9">
        <f t="shared" si="30"/>
        <v>451.67248034519281</v>
      </c>
      <c r="BA95" s="9">
        <f t="shared" si="31"/>
        <v>771.96760355029573</v>
      </c>
      <c r="BB95" s="9">
        <f t="shared" si="32"/>
        <v>682.5473825290602</v>
      </c>
      <c r="BC95" s="19"/>
      <c r="BD95" s="9">
        <v>1286.2</v>
      </c>
      <c r="BF95" s="257">
        <v>663.44</v>
      </c>
      <c r="BH95" s="252">
        <v>179</v>
      </c>
      <c r="BI95" s="252">
        <f t="shared" si="33"/>
        <v>179</v>
      </c>
      <c r="BJ95" s="252">
        <f t="shared" si="23"/>
        <v>1349.5755049495262</v>
      </c>
      <c r="BK95" s="256">
        <f t="shared" si="25"/>
        <v>179</v>
      </c>
      <c r="BP95" s="252">
        <v>230</v>
      </c>
      <c r="BQ95" s="252">
        <f t="shared" si="34"/>
        <v>230</v>
      </c>
      <c r="BR95" s="256">
        <f t="shared" si="35"/>
        <v>1349.5755049495262</v>
      </c>
      <c r="BS95" s="255">
        <f t="shared" si="26"/>
        <v>230</v>
      </c>
      <c r="BU95" s="252">
        <v>232</v>
      </c>
      <c r="BW95" s="9">
        <v>19</v>
      </c>
      <c r="BX95" s="9">
        <v>120</v>
      </c>
      <c r="BY95" s="9">
        <v>106</v>
      </c>
      <c r="BZ95" s="9">
        <v>136</v>
      </c>
      <c r="CA95" s="9">
        <v>126</v>
      </c>
      <c r="CB95" s="9">
        <v>110</v>
      </c>
      <c r="CC95" s="9">
        <v>123</v>
      </c>
      <c r="CD95" s="9">
        <v>133</v>
      </c>
      <c r="CE95" s="9">
        <v>124</v>
      </c>
      <c r="CF95" s="9">
        <v>111</v>
      </c>
      <c r="CG95" s="9">
        <v>147</v>
      </c>
      <c r="CH95" s="9">
        <v>111</v>
      </c>
      <c r="CI95" s="9">
        <v>98</v>
      </c>
      <c r="CJ95" s="9">
        <v>98</v>
      </c>
      <c r="CK95" s="23">
        <f t="shared" si="36"/>
        <v>1491.9192156862746</v>
      </c>
      <c r="CL95">
        <f t="shared" si="37"/>
        <v>428</v>
      </c>
      <c r="CM95">
        <f t="shared" si="38"/>
        <v>458.14061764705883</v>
      </c>
      <c r="CN95" s="23">
        <f t="shared" si="39"/>
        <v>794</v>
      </c>
      <c r="CO95">
        <f t="shared" ref="CO95:CO117" si="42">MAX($D$181,SUM(CE95:CJ95) +((AK95+AL95+AM95+AN95+AO95+AP95+AR95+AS95+AT95+AU95+AV95+AW95)*0.25))</f>
        <v>697.91921568627447</v>
      </c>
      <c r="CQ95" s="23">
        <f t="shared" si="40"/>
        <v>854</v>
      </c>
      <c r="CR95" s="23">
        <f t="shared" si="41"/>
        <v>697.91921568627447</v>
      </c>
    </row>
    <row r="96" spans="1:96" ht="29.25">
      <c r="A96" t="str">
        <f t="shared" si="24"/>
        <v>372</v>
      </c>
      <c r="B96">
        <f t="shared" si="27"/>
        <v>372</v>
      </c>
      <c r="C96" s="14" t="s">
        <v>103</v>
      </c>
      <c r="D96" s="11"/>
      <c r="E96" s="9">
        <f>SUM(67.5618751638147*0.5)</f>
        <v>33.780937581907352</v>
      </c>
      <c r="F96" s="9">
        <v>62.447368421052602</v>
      </c>
      <c r="G96" s="9">
        <v>72.312865497076004</v>
      </c>
      <c r="H96" s="9">
        <v>65.552631578947398</v>
      </c>
      <c r="I96" s="9">
        <v>77.795321637426895</v>
      </c>
      <c r="J96" s="9">
        <v>70.774853801169598</v>
      </c>
      <c r="K96" s="9">
        <v>85.307246376811605</v>
      </c>
      <c r="L96" s="9">
        <v>70.028985507246404</v>
      </c>
      <c r="M96" s="9">
        <v>78.269565217391303</v>
      </c>
      <c r="N96" s="9">
        <v>71.168604651162795</v>
      </c>
      <c r="O96" s="9">
        <v>73.8720930232558</v>
      </c>
      <c r="P96" s="9">
        <v>69.857558139534902</v>
      </c>
      <c r="Q96" s="9">
        <v>62.072674418604599</v>
      </c>
      <c r="R96" s="9">
        <v>0</v>
      </c>
      <c r="S96" s="9">
        <v>0</v>
      </c>
      <c r="T96" s="9">
        <v>0</v>
      </c>
      <c r="U96" s="9">
        <v>0</v>
      </c>
      <c r="V96" s="9">
        <v>0</v>
      </c>
      <c r="W96" s="9">
        <v>0</v>
      </c>
      <c r="X96" s="9">
        <v>0</v>
      </c>
      <c r="Y96" s="9">
        <v>0</v>
      </c>
      <c r="Z96" s="9">
        <v>0</v>
      </c>
      <c r="AA96" s="9">
        <v>0</v>
      </c>
      <c r="AB96" s="9">
        <v>0</v>
      </c>
      <c r="AC96" s="9">
        <v>0</v>
      </c>
      <c r="AD96" s="9">
        <v>0</v>
      </c>
      <c r="AE96" s="9">
        <v>0</v>
      </c>
      <c r="AF96" s="9">
        <v>0</v>
      </c>
      <c r="AG96" s="9">
        <v>0</v>
      </c>
      <c r="AH96" s="9">
        <v>0</v>
      </c>
      <c r="AI96" s="9">
        <v>0</v>
      </c>
      <c r="AJ96" s="9">
        <v>0</v>
      </c>
      <c r="AK96" s="9">
        <v>0</v>
      </c>
      <c r="AL96" s="9">
        <v>0</v>
      </c>
      <c r="AM96" s="9">
        <v>0</v>
      </c>
      <c r="AN96" s="9">
        <v>0</v>
      </c>
      <c r="AO96" s="9">
        <v>0</v>
      </c>
      <c r="AP96" s="9">
        <v>0</v>
      </c>
      <c r="AQ96" s="9">
        <v>5.3960784313725503</v>
      </c>
      <c r="AR96" s="9">
        <v>5.0509803921568599</v>
      </c>
      <c r="AS96" s="9">
        <v>3.6078431372548998</v>
      </c>
      <c r="AT96" s="9">
        <v>4.1098039215686297</v>
      </c>
      <c r="AU96" s="9">
        <v>5.4117647058823497</v>
      </c>
      <c r="AV96" s="9">
        <v>5.8196078431372502</v>
      </c>
      <c r="AW96" s="9">
        <v>0</v>
      </c>
      <c r="AX96" s="9">
        <f t="shared" si="28"/>
        <v>968.76862349710791</v>
      </c>
      <c r="AY96" s="9">
        <f t="shared" si="29"/>
        <v>245.79849323293251</v>
      </c>
      <c r="AZ96" s="9">
        <f t="shared" si="30"/>
        <v>306.92771203830364</v>
      </c>
      <c r="BA96" s="9">
        <f t="shared" si="31"/>
        <v>497.03566849205214</v>
      </c>
      <c r="BB96" s="9">
        <f t="shared" si="32"/>
        <v>471.73295500505554</v>
      </c>
      <c r="BC96" s="19"/>
      <c r="BD96" s="9">
        <v>410</v>
      </c>
      <c r="BF96" s="252">
        <v>448</v>
      </c>
      <c r="BH96" s="252">
        <v>85</v>
      </c>
      <c r="BI96" s="252">
        <f t="shared" si="33"/>
        <v>85</v>
      </c>
      <c r="BJ96" s="252">
        <f t="shared" si="23"/>
        <v>893.24070585158734</v>
      </c>
      <c r="BK96" s="256">
        <f t="shared" si="25"/>
        <v>85</v>
      </c>
      <c r="BP96" s="252">
        <v>63</v>
      </c>
      <c r="BQ96" s="252">
        <f t="shared" si="34"/>
        <v>63</v>
      </c>
      <c r="BR96" s="256">
        <f t="shared" si="35"/>
        <v>893.24070585158734</v>
      </c>
      <c r="BS96" s="255">
        <f t="shared" si="26"/>
        <v>63</v>
      </c>
      <c r="BU96" s="252">
        <v>0</v>
      </c>
      <c r="BW96" s="9">
        <v>12</v>
      </c>
      <c r="BX96" s="9">
        <v>69</v>
      </c>
      <c r="BY96" s="9">
        <v>76</v>
      </c>
      <c r="BZ96" s="9">
        <v>66</v>
      </c>
      <c r="CA96" s="9">
        <v>72</v>
      </c>
      <c r="CB96" s="9">
        <v>70</v>
      </c>
      <c r="CC96" s="9">
        <v>81</v>
      </c>
      <c r="CD96" s="9">
        <v>71</v>
      </c>
      <c r="CE96" s="9">
        <v>90</v>
      </c>
      <c r="CF96" s="9">
        <v>77</v>
      </c>
      <c r="CG96" s="9">
        <v>87</v>
      </c>
      <c r="CH96" s="9">
        <v>78</v>
      </c>
      <c r="CI96" s="9">
        <v>81</v>
      </c>
      <c r="CJ96" s="9">
        <v>64</v>
      </c>
      <c r="CK96" s="23">
        <f t="shared" si="36"/>
        <v>954.84901960784316</v>
      </c>
      <c r="CL96">
        <f t="shared" si="37"/>
        <v>248.5</v>
      </c>
      <c r="CM96">
        <f t="shared" si="38"/>
        <v>313.83529411764704</v>
      </c>
      <c r="CN96" s="23">
        <f t="shared" si="39"/>
        <v>471.84901960784316</v>
      </c>
      <c r="CO96">
        <f t="shared" si="42"/>
        <v>483</v>
      </c>
      <c r="CQ96" s="23">
        <f t="shared" si="40"/>
        <v>506.34901960784316</v>
      </c>
      <c r="CR96" s="23">
        <f t="shared" si="41"/>
        <v>483</v>
      </c>
    </row>
    <row r="97" spans="1:96" ht="29.25">
      <c r="A97" t="str">
        <f t="shared" si="24"/>
        <v>373</v>
      </c>
      <c r="B97">
        <f t="shared" si="27"/>
        <v>373</v>
      </c>
      <c r="C97" s="14" t="s">
        <v>104</v>
      </c>
      <c r="D97" s="11"/>
      <c r="E97" s="9">
        <f>SUM(118.573964497041*0.5)</f>
        <v>59.286982248520502</v>
      </c>
      <c r="F97" s="9">
        <v>131.48520710059199</v>
      </c>
      <c r="G97" s="9">
        <v>125.585798816568</v>
      </c>
      <c r="H97" s="9">
        <v>137.56508875739601</v>
      </c>
      <c r="I97" s="9">
        <v>127.233727810651</v>
      </c>
      <c r="J97" s="9">
        <v>132.791666666667</v>
      </c>
      <c r="K97" s="9">
        <v>122.53571428571399</v>
      </c>
      <c r="L97" s="9">
        <v>137.47321428571399</v>
      </c>
      <c r="M97" s="9">
        <v>144.88690476190499</v>
      </c>
      <c r="N97" s="9">
        <v>119.17261904761899</v>
      </c>
      <c r="O97" s="9">
        <v>127.080357142857</v>
      </c>
      <c r="P97" s="9">
        <v>126.53869047619</v>
      </c>
      <c r="Q97" s="9">
        <v>99.660714285714306</v>
      </c>
      <c r="R97" s="9">
        <v>0</v>
      </c>
      <c r="S97" s="9">
        <v>0</v>
      </c>
      <c r="T97" s="9">
        <v>0</v>
      </c>
      <c r="U97" s="9">
        <v>1.7681405714285701</v>
      </c>
      <c r="V97" s="9">
        <v>2.2616000000000001</v>
      </c>
      <c r="W97" s="9">
        <v>8.2400994285714297</v>
      </c>
      <c r="X97" s="9">
        <v>10.7313177142857</v>
      </c>
      <c r="Y97" s="9">
        <v>0</v>
      </c>
      <c r="Z97" s="9">
        <v>0</v>
      </c>
      <c r="AA97" s="9">
        <v>0</v>
      </c>
      <c r="AB97" s="9">
        <v>0</v>
      </c>
      <c r="AC97" s="9">
        <v>0</v>
      </c>
      <c r="AD97" s="9">
        <v>0</v>
      </c>
      <c r="AE97" s="9">
        <v>0</v>
      </c>
      <c r="AF97" s="9">
        <v>0</v>
      </c>
      <c r="AG97" s="9">
        <v>0</v>
      </c>
      <c r="AH97" s="9">
        <v>0</v>
      </c>
      <c r="AI97" s="9">
        <v>0</v>
      </c>
      <c r="AJ97" s="9">
        <v>0</v>
      </c>
      <c r="AK97" s="9">
        <v>0</v>
      </c>
      <c r="AL97" s="9">
        <v>0</v>
      </c>
      <c r="AM97" s="9">
        <v>0</v>
      </c>
      <c r="AN97" s="9">
        <v>0</v>
      </c>
      <c r="AO97" s="9">
        <v>0</v>
      </c>
      <c r="AP97" s="9">
        <v>0</v>
      </c>
      <c r="AQ97" s="9">
        <v>0</v>
      </c>
      <c r="AR97" s="9">
        <v>0.65686274509803899</v>
      </c>
      <c r="AS97" s="9">
        <v>0.441176470588235</v>
      </c>
      <c r="AT97" s="9">
        <v>0.87254901960784303</v>
      </c>
      <c r="AU97" s="9">
        <v>3.7647058823529398</v>
      </c>
      <c r="AV97" s="9">
        <v>1.62745098039216</v>
      </c>
      <c r="AW97" s="9">
        <v>2.0882352941176499</v>
      </c>
      <c r="AX97" s="9">
        <f t="shared" si="28"/>
        <v>1704.936264982178</v>
      </c>
      <c r="AY97" s="9">
        <f t="shared" si="29"/>
        <v>476.61923076923028</v>
      </c>
      <c r="AZ97" s="9">
        <f t="shared" si="30"/>
        <v>528.99680383529346</v>
      </c>
      <c r="BA97" s="9">
        <f t="shared" si="31"/>
        <v>878.30839497041381</v>
      </c>
      <c r="BB97" s="9">
        <f t="shared" si="32"/>
        <v>826.627870011764</v>
      </c>
      <c r="BC97" s="19"/>
      <c r="BD97" s="9">
        <v>740</v>
      </c>
      <c r="BF97" s="252">
        <v>768</v>
      </c>
      <c r="BH97" s="252">
        <v>203</v>
      </c>
      <c r="BI97" s="252">
        <f t="shared" si="33"/>
        <v>203</v>
      </c>
      <c r="BJ97" s="252">
        <f t="shared" si="23"/>
        <v>1591.2966856861076</v>
      </c>
      <c r="BK97" s="256">
        <f t="shared" si="25"/>
        <v>203</v>
      </c>
      <c r="BP97" s="252">
        <v>153</v>
      </c>
      <c r="BQ97" s="252">
        <f t="shared" si="34"/>
        <v>153</v>
      </c>
      <c r="BR97" s="256">
        <f t="shared" si="35"/>
        <v>1591.2966856861076</v>
      </c>
      <c r="BS97" s="255">
        <f t="shared" si="26"/>
        <v>153</v>
      </c>
      <c r="BU97" s="252">
        <v>112</v>
      </c>
      <c r="BW97" s="9">
        <v>16</v>
      </c>
      <c r="BX97" s="9">
        <v>117</v>
      </c>
      <c r="BY97" s="9">
        <v>141</v>
      </c>
      <c r="BZ97" s="9">
        <v>116</v>
      </c>
      <c r="CA97" s="9">
        <v>137</v>
      </c>
      <c r="CB97" s="9">
        <v>146</v>
      </c>
      <c r="CC97" s="9">
        <v>134</v>
      </c>
      <c r="CD97" s="9">
        <v>137</v>
      </c>
      <c r="CE97" s="9">
        <v>133</v>
      </c>
      <c r="CF97" s="9">
        <v>151</v>
      </c>
      <c r="CG97" s="9">
        <v>156</v>
      </c>
      <c r="CH97" s="9">
        <v>121</v>
      </c>
      <c r="CI97" s="9">
        <v>120</v>
      </c>
      <c r="CJ97" s="9">
        <v>144</v>
      </c>
      <c r="CK97" s="23">
        <f t="shared" si="36"/>
        <v>1696.8627450980391</v>
      </c>
      <c r="CL97">
        <f t="shared" si="37"/>
        <v>452.5</v>
      </c>
      <c r="CM97">
        <f t="shared" si="38"/>
        <v>543.08823529411768</v>
      </c>
      <c r="CN97" s="23">
        <f t="shared" si="39"/>
        <v>869.5</v>
      </c>
      <c r="CO97">
        <f t="shared" si="42"/>
        <v>827.36274509803923</v>
      </c>
      <c r="CQ97" s="23">
        <f t="shared" si="40"/>
        <v>928</v>
      </c>
      <c r="CR97" s="23">
        <f t="shared" si="41"/>
        <v>827.36274509803923</v>
      </c>
    </row>
    <row r="98" spans="1:96" ht="29.25">
      <c r="A98" t="str">
        <f t="shared" si="24"/>
        <v>381</v>
      </c>
      <c r="B98">
        <f t="shared" si="27"/>
        <v>381</v>
      </c>
      <c r="C98" s="14" t="s">
        <v>105</v>
      </c>
      <c r="D98" s="11"/>
      <c r="E98" s="9">
        <f>SUM(101.586908643914*0.5)</f>
        <v>50.793454321957</v>
      </c>
      <c r="F98" s="9">
        <v>98.780701754386001</v>
      </c>
      <c r="G98" s="9">
        <v>106.473684210526</v>
      </c>
      <c r="H98" s="9">
        <v>115.23391812865501</v>
      </c>
      <c r="I98" s="9">
        <v>113.29651162790699</v>
      </c>
      <c r="J98" s="9">
        <v>106.726744186047</v>
      </c>
      <c r="K98" s="9">
        <v>112.29532163742699</v>
      </c>
      <c r="L98" s="9">
        <v>113.982456140351</v>
      </c>
      <c r="M98" s="9">
        <v>93.508771929824604</v>
      </c>
      <c r="N98" s="9">
        <v>100.959770114943</v>
      </c>
      <c r="O98" s="9">
        <v>109.425287356322</v>
      </c>
      <c r="P98" s="9">
        <v>88.339080459770102</v>
      </c>
      <c r="Q98" s="9">
        <v>80.620689655172399</v>
      </c>
      <c r="R98" s="9">
        <v>1.72774181818182</v>
      </c>
      <c r="S98" s="9">
        <v>5.0828163636363604</v>
      </c>
      <c r="T98" s="9">
        <v>3.91857454545455</v>
      </c>
      <c r="U98" s="9">
        <v>0</v>
      </c>
      <c r="V98" s="9">
        <v>3.22570863636364</v>
      </c>
      <c r="W98" s="9">
        <v>6.3373536363636402</v>
      </c>
      <c r="X98" s="9">
        <v>9.2902719356944594</v>
      </c>
      <c r="Y98" s="9">
        <v>0</v>
      </c>
      <c r="Z98" s="9">
        <v>0</v>
      </c>
      <c r="AA98" s="9">
        <v>0</v>
      </c>
      <c r="AB98" s="9">
        <v>0</v>
      </c>
      <c r="AC98" s="9">
        <v>0</v>
      </c>
      <c r="AD98" s="9">
        <v>0</v>
      </c>
      <c r="AE98" s="9">
        <v>0</v>
      </c>
      <c r="AF98" s="9">
        <v>0</v>
      </c>
      <c r="AG98" s="9">
        <v>0</v>
      </c>
      <c r="AH98" s="9">
        <v>0</v>
      </c>
      <c r="AI98" s="9">
        <v>0</v>
      </c>
      <c r="AJ98" s="9">
        <v>0</v>
      </c>
      <c r="AK98" s="9">
        <v>0</v>
      </c>
      <c r="AL98" s="9">
        <v>0</v>
      </c>
      <c r="AM98" s="9">
        <v>0</v>
      </c>
      <c r="AN98" s="9">
        <v>0</v>
      </c>
      <c r="AO98" s="9">
        <v>0</v>
      </c>
      <c r="AP98" s="9">
        <v>0</v>
      </c>
      <c r="AQ98" s="9">
        <v>0</v>
      </c>
      <c r="AR98" s="9">
        <v>1.7843137254902</v>
      </c>
      <c r="AS98" s="9">
        <v>0</v>
      </c>
      <c r="AT98" s="9">
        <v>4.2549019607843102</v>
      </c>
      <c r="AU98" s="9">
        <v>3.9254901960784299</v>
      </c>
      <c r="AV98" s="9">
        <v>2.4980392156862701</v>
      </c>
      <c r="AW98" s="9">
        <v>0</v>
      </c>
      <c r="AX98" s="9">
        <f t="shared" si="28"/>
        <v>1399.1056837348724</v>
      </c>
      <c r="AY98" s="9">
        <f t="shared" si="29"/>
        <v>389.84584633630021</v>
      </c>
      <c r="AZ98" s="9">
        <f t="shared" si="30"/>
        <v>429.32042282553715</v>
      </c>
      <c r="BA98" s="9">
        <f t="shared" si="31"/>
        <v>740.59448156934116</v>
      </c>
      <c r="BB98" s="9">
        <f t="shared" si="32"/>
        <v>658.51120216553181</v>
      </c>
      <c r="BC98" s="19"/>
      <c r="BD98" s="9">
        <v>926</v>
      </c>
      <c r="BF98" s="252">
        <v>900</v>
      </c>
      <c r="BH98" s="252">
        <v>122</v>
      </c>
      <c r="BI98" s="252">
        <f t="shared" si="33"/>
        <v>122</v>
      </c>
      <c r="BJ98" s="252">
        <f t="shared" si="23"/>
        <v>1290.436391523288</v>
      </c>
      <c r="BK98" s="256">
        <f t="shared" si="25"/>
        <v>122</v>
      </c>
      <c r="BP98" s="252">
        <v>474</v>
      </c>
      <c r="BQ98" s="252">
        <f t="shared" si="34"/>
        <v>474</v>
      </c>
      <c r="BR98" s="256">
        <f t="shared" si="35"/>
        <v>1290.436391523288</v>
      </c>
      <c r="BS98" s="255">
        <f t="shared" si="26"/>
        <v>474</v>
      </c>
      <c r="BU98" s="252">
        <v>8</v>
      </c>
      <c r="BW98" s="9">
        <v>4</v>
      </c>
      <c r="BX98" s="9">
        <v>110</v>
      </c>
      <c r="BY98" s="9">
        <v>111</v>
      </c>
      <c r="BZ98" s="9">
        <v>106</v>
      </c>
      <c r="CA98" s="9">
        <v>116</v>
      </c>
      <c r="CB98" s="9">
        <v>120</v>
      </c>
      <c r="CC98" s="9">
        <v>117</v>
      </c>
      <c r="CD98" s="9">
        <v>106</v>
      </c>
      <c r="CE98" s="9">
        <v>123</v>
      </c>
      <c r="CF98" s="9">
        <v>127</v>
      </c>
      <c r="CG98" s="9">
        <v>104</v>
      </c>
      <c r="CH98" s="9">
        <v>104</v>
      </c>
      <c r="CI98" s="9">
        <v>119</v>
      </c>
      <c r="CJ98" s="9">
        <v>96</v>
      </c>
      <c r="CK98" s="23">
        <f t="shared" si="36"/>
        <v>1407.1156862745097</v>
      </c>
      <c r="CL98">
        <f t="shared" si="37"/>
        <v>388</v>
      </c>
      <c r="CM98">
        <f t="shared" si="38"/>
        <v>425.66960784313727</v>
      </c>
      <c r="CN98" s="23">
        <f t="shared" si="39"/>
        <v>731</v>
      </c>
      <c r="CO98">
        <f t="shared" si="42"/>
        <v>676.11568627450981</v>
      </c>
      <c r="CQ98" s="23">
        <f t="shared" si="40"/>
        <v>786</v>
      </c>
      <c r="CR98" s="23">
        <f t="shared" si="41"/>
        <v>676.11568627450981</v>
      </c>
    </row>
    <row r="99" spans="1:96" ht="29.25">
      <c r="A99" t="str">
        <f t="shared" si="24"/>
        <v>382</v>
      </c>
      <c r="B99">
        <f t="shared" si="27"/>
        <v>382</v>
      </c>
      <c r="C99" s="14" t="s">
        <v>106</v>
      </c>
      <c r="D99" s="11"/>
      <c r="E99" s="9">
        <f>SUM(7.82638888888889*0.5)</f>
        <v>3.9131944444444451</v>
      </c>
      <c r="F99" s="9">
        <v>9.8090277777777803</v>
      </c>
      <c r="G99" s="9">
        <v>10.3368055555556</v>
      </c>
      <c r="H99" s="9">
        <v>11.2361111111111</v>
      </c>
      <c r="I99" s="9">
        <v>11.7638888888889</v>
      </c>
      <c r="J99" s="9">
        <v>15.84375</v>
      </c>
      <c r="K99" s="9">
        <v>9.5972222222222197</v>
      </c>
      <c r="L99" s="9">
        <v>17.4965277777778</v>
      </c>
      <c r="M99" s="9">
        <v>14.3784722222222</v>
      </c>
      <c r="N99" s="9">
        <v>17.53125</v>
      </c>
      <c r="O99" s="9">
        <v>13.2361111111111</v>
      </c>
      <c r="P99" s="9">
        <v>15.6805555555556</v>
      </c>
      <c r="Q99" s="9">
        <v>12.2395833333333</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c r="AO99" s="9">
        <v>0</v>
      </c>
      <c r="AP99" s="9">
        <v>0</v>
      </c>
      <c r="AQ99" s="9">
        <v>0</v>
      </c>
      <c r="AR99" s="9">
        <v>0</v>
      </c>
      <c r="AS99" s="9">
        <v>0</v>
      </c>
      <c r="AT99" s="9">
        <v>0</v>
      </c>
      <c r="AU99" s="9">
        <v>0</v>
      </c>
      <c r="AV99" s="9">
        <v>0</v>
      </c>
      <c r="AW99" s="9">
        <v>0</v>
      </c>
      <c r="AX99" s="9">
        <f t="shared" si="28"/>
        <v>171.21562500000007</v>
      </c>
      <c r="AY99" s="9">
        <f t="shared" si="29"/>
        <v>37.059895833333378</v>
      </c>
      <c r="AZ99" s="9">
        <f t="shared" si="30"/>
        <v>61.621875000000003</v>
      </c>
      <c r="BA99" s="9">
        <f t="shared" si="31"/>
        <v>76.125000000000043</v>
      </c>
      <c r="BB99" s="9">
        <f t="shared" si="32"/>
        <v>95.090625000000003</v>
      </c>
      <c r="BC99" s="19"/>
      <c r="BD99" s="9">
        <v>73</v>
      </c>
      <c r="BF99" s="252">
        <v>67</v>
      </c>
      <c r="BH99" s="252">
        <v>11</v>
      </c>
      <c r="BI99" s="252">
        <f t="shared" si="33"/>
        <v>11</v>
      </c>
      <c r="BJ99" s="252">
        <f t="shared" si="23"/>
        <v>163.06250000000006</v>
      </c>
      <c r="BK99" s="256">
        <f t="shared" si="25"/>
        <v>11</v>
      </c>
      <c r="BP99" s="252">
        <v>0</v>
      </c>
      <c r="BQ99" s="252">
        <f t="shared" si="34"/>
        <v>0</v>
      </c>
      <c r="BR99" s="256">
        <f t="shared" si="35"/>
        <v>163.06250000000006</v>
      </c>
      <c r="BS99" s="255">
        <f t="shared" si="26"/>
        <v>0</v>
      </c>
      <c r="BU99" s="252">
        <v>0</v>
      </c>
      <c r="BW99" s="9">
        <v>0</v>
      </c>
      <c r="BX99" s="9">
        <v>6</v>
      </c>
      <c r="BY99" s="9">
        <v>10</v>
      </c>
      <c r="BZ99" s="9">
        <v>11</v>
      </c>
      <c r="CA99" s="9">
        <v>13</v>
      </c>
      <c r="CB99" s="9">
        <v>11</v>
      </c>
      <c r="CC99" s="9">
        <v>13</v>
      </c>
      <c r="CD99" s="9">
        <v>19</v>
      </c>
      <c r="CE99" s="9">
        <v>9</v>
      </c>
      <c r="CF99" s="9">
        <v>19</v>
      </c>
      <c r="CG99" s="9">
        <v>14</v>
      </c>
      <c r="CH99" s="9">
        <v>21</v>
      </c>
      <c r="CI99" s="9">
        <v>14</v>
      </c>
      <c r="CJ99" s="9">
        <v>18</v>
      </c>
      <c r="CK99" s="23">
        <f t="shared" si="36"/>
        <v>175</v>
      </c>
      <c r="CL99">
        <f t="shared" si="37"/>
        <v>37</v>
      </c>
      <c r="CM99">
        <f t="shared" si="38"/>
        <v>67</v>
      </c>
      <c r="CN99" s="23">
        <f t="shared" si="39"/>
        <v>80</v>
      </c>
      <c r="CO99">
        <f t="shared" si="42"/>
        <v>100</v>
      </c>
      <c r="CQ99" s="23">
        <f t="shared" si="40"/>
        <v>83</v>
      </c>
      <c r="CR99" s="23">
        <f t="shared" si="41"/>
        <v>95</v>
      </c>
    </row>
    <row r="100" spans="1:96" ht="29.25">
      <c r="A100" t="str">
        <f t="shared" si="24"/>
        <v>383</v>
      </c>
      <c r="B100">
        <f t="shared" si="27"/>
        <v>383</v>
      </c>
      <c r="C100" s="14" t="s">
        <v>107</v>
      </c>
      <c r="D100" s="11"/>
      <c r="E100" s="9">
        <f>SUM(2.89705882352941*0.5)</f>
        <v>1.448529411764705</v>
      </c>
      <c r="F100" s="9">
        <v>4.3852941176470601</v>
      </c>
      <c r="G100" s="9">
        <v>0</v>
      </c>
      <c r="H100" s="9">
        <v>2.3205882352941201</v>
      </c>
      <c r="I100" s="9">
        <v>4.7647058823529402</v>
      </c>
      <c r="J100" s="9">
        <v>0</v>
      </c>
      <c r="K100" s="9">
        <v>1.9088235294117599</v>
      </c>
      <c r="L100" s="9">
        <v>0</v>
      </c>
      <c r="M100" s="9">
        <v>0</v>
      </c>
      <c r="N100" s="9">
        <v>0</v>
      </c>
      <c r="O100" s="9">
        <v>0</v>
      </c>
      <c r="P100" s="9">
        <v>0</v>
      </c>
      <c r="Q100" s="9">
        <v>0</v>
      </c>
      <c r="R100" s="9">
        <v>0</v>
      </c>
      <c r="S100" s="9">
        <v>0</v>
      </c>
      <c r="T100" s="9">
        <v>0</v>
      </c>
      <c r="U100" s="9">
        <v>0</v>
      </c>
      <c r="V100" s="9">
        <v>0</v>
      </c>
      <c r="W100" s="9">
        <v>0</v>
      </c>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9">
        <v>0</v>
      </c>
      <c r="AO100" s="9">
        <v>0</v>
      </c>
      <c r="AP100" s="9">
        <v>0</v>
      </c>
      <c r="AQ100" s="9">
        <v>0</v>
      </c>
      <c r="AR100" s="9">
        <v>0</v>
      </c>
      <c r="AS100" s="9">
        <v>0</v>
      </c>
      <c r="AT100" s="9">
        <v>0</v>
      </c>
      <c r="AU100" s="9">
        <v>0</v>
      </c>
      <c r="AV100" s="9">
        <v>0</v>
      </c>
      <c r="AW100" s="9">
        <v>0</v>
      </c>
      <c r="AX100" s="9">
        <f t="shared" si="28"/>
        <v>15.569338235294115</v>
      </c>
      <c r="AY100" s="9">
        <f t="shared" si="29"/>
        <v>8.5621323529411786</v>
      </c>
      <c r="AZ100" s="9">
        <f t="shared" si="30"/>
        <v>0</v>
      </c>
      <c r="BA100" s="9">
        <f t="shared" si="31"/>
        <v>15.569338235294115</v>
      </c>
      <c r="BB100" s="9">
        <f t="shared" si="32"/>
        <v>0</v>
      </c>
      <c r="BC100" s="19"/>
      <c r="BD100" s="126">
        <v>7.1</v>
      </c>
      <c r="BF100" s="257">
        <v>6.88</v>
      </c>
      <c r="BH100" s="252" t="e">
        <v>#N/A</v>
      </c>
      <c r="BI100" s="252" t="str">
        <f t="shared" si="33"/>
        <v/>
      </c>
      <c r="BJ100" s="252" t="str">
        <f t="shared" si="23"/>
        <v/>
      </c>
      <c r="BK100" s="256">
        <f t="shared" ref="BK100:BK131" si="43">IFERROR(BH100*1,SUM(E100:Q100)*$BJ$179)</f>
        <v>1.8395985049116899</v>
      </c>
      <c r="BP100" s="252">
        <v>0</v>
      </c>
      <c r="BQ100" s="252">
        <f t="shared" si="34"/>
        <v>0</v>
      </c>
      <c r="BR100" s="256">
        <f t="shared" si="35"/>
        <v>14.827941176470585</v>
      </c>
      <c r="BS100" s="255">
        <f t="shared" ref="BS100:BS131" si="44">IFERROR(BP100*1,SUM(E100:Q100)*$BR$179)</f>
        <v>0</v>
      </c>
      <c r="BU100" s="252">
        <v>0</v>
      </c>
      <c r="BW100" s="9">
        <v>0</v>
      </c>
      <c r="BX100" s="9">
        <v>1</v>
      </c>
      <c r="BY100" s="9">
        <v>5</v>
      </c>
      <c r="BZ100" s="9">
        <v>4</v>
      </c>
      <c r="CA100" s="9">
        <v>0</v>
      </c>
      <c r="CB100" s="9">
        <v>2</v>
      </c>
      <c r="CC100" s="9">
        <v>4</v>
      </c>
      <c r="CD100" s="9">
        <v>0</v>
      </c>
      <c r="CE100" s="9">
        <v>0</v>
      </c>
      <c r="CF100" s="9">
        <v>0</v>
      </c>
      <c r="CG100" s="9">
        <v>0</v>
      </c>
      <c r="CH100" s="9">
        <v>0</v>
      </c>
      <c r="CI100" s="9">
        <v>0</v>
      </c>
      <c r="CJ100" s="9">
        <v>0</v>
      </c>
      <c r="CK100" s="23">
        <f t="shared" si="36"/>
        <v>15.5</v>
      </c>
      <c r="CL100">
        <f t="shared" si="37"/>
        <v>9.5</v>
      </c>
      <c r="CM100">
        <f t="shared" si="38"/>
        <v>0</v>
      </c>
      <c r="CN100" s="23">
        <f t="shared" si="39"/>
        <v>15.5</v>
      </c>
      <c r="CO100" s="176">
        <f>SUM(CE100:CJ100)+((AK100+AL100+AM100+AN100+AO100+AP100+AR100+AS100+AT100+AU100+AV100+AW100)*0.25)</f>
        <v>0</v>
      </c>
      <c r="CQ100" s="23">
        <f t="shared" si="40"/>
        <v>16</v>
      </c>
      <c r="CR100" s="23">
        <f t="shared" si="41"/>
        <v>0</v>
      </c>
    </row>
    <row r="101" spans="1:96" ht="29.25">
      <c r="A101" t="str">
        <f t="shared" si="24"/>
        <v>391</v>
      </c>
      <c r="B101">
        <f t="shared" si="27"/>
        <v>391</v>
      </c>
      <c r="C101" s="14" t="s">
        <v>108</v>
      </c>
      <c r="D101" s="11"/>
      <c r="E101" s="9">
        <f>SUM(63.9930141851776*0.5)</f>
        <v>31.9965070925888</v>
      </c>
      <c r="F101" s="9">
        <v>83.795644219890093</v>
      </c>
      <c r="G101" s="9">
        <v>82.040438825793103</v>
      </c>
      <c r="H101" s="9">
        <v>84.927464172201795</v>
      </c>
      <c r="I101" s="9">
        <v>75.319496272815996</v>
      </c>
      <c r="J101" s="9">
        <v>77.190793831634096</v>
      </c>
      <c r="K101" s="9">
        <v>82.393491124260393</v>
      </c>
      <c r="L101" s="9">
        <v>81.2988165680473</v>
      </c>
      <c r="M101" s="9">
        <v>73.269230769230802</v>
      </c>
      <c r="N101" s="9">
        <v>80.047793258666204</v>
      </c>
      <c r="O101" s="9">
        <v>74.840086927864405</v>
      </c>
      <c r="P101" s="9">
        <v>66.226470588235301</v>
      </c>
      <c r="Q101" s="9">
        <v>71.488235294117601</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2.71764705882353</v>
      </c>
      <c r="AS101" s="9">
        <v>0.57254901960784299</v>
      </c>
      <c r="AT101" s="9">
        <v>0</v>
      </c>
      <c r="AU101" s="9">
        <v>0.88627450980392197</v>
      </c>
      <c r="AV101" s="9">
        <v>0.74901960784313704</v>
      </c>
      <c r="AW101" s="9">
        <v>0</v>
      </c>
      <c r="AX101" s="9">
        <f t="shared" si="28"/>
        <v>1018.2479570984956</v>
      </c>
      <c r="AY101" s="9">
        <f t="shared" si="29"/>
        <v>296.8980570259975</v>
      </c>
      <c r="AZ101" s="9">
        <f t="shared" si="30"/>
        <v>308.94977419585712</v>
      </c>
      <c r="BA101" s="9">
        <f t="shared" si="31"/>
        <v>543.54702731614361</v>
      </c>
      <c r="BB101" s="9">
        <f t="shared" si="32"/>
        <v>474.70092978235209</v>
      </c>
      <c r="BC101" s="19"/>
      <c r="BD101" s="9">
        <v>569</v>
      </c>
      <c r="BF101" s="252">
        <v>515</v>
      </c>
      <c r="BH101" s="252">
        <v>209</v>
      </c>
      <c r="BI101" s="252">
        <f t="shared" si="33"/>
        <v>209</v>
      </c>
      <c r="BJ101" s="252">
        <f t="shared" si="23"/>
        <v>964.83446894534586</v>
      </c>
      <c r="BK101" s="256">
        <f t="shared" si="43"/>
        <v>209</v>
      </c>
      <c r="BP101" s="252">
        <v>5</v>
      </c>
      <c r="BQ101" s="252">
        <f t="shared" si="34"/>
        <v>5</v>
      </c>
      <c r="BR101" s="256">
        <f t="shared" si="35"/>
        <v>964.83446894534586</v>
      </c>
      <c r="BS101" s="255">
        <f t="shared" si="44"/>
        <v>5</v>
      </c>
      <c r="BU101" s="252">
        <v>15</v>
      </c>
      <c r="BW101" s="9">
        <v>22</v>
      </c>
      <c r="BX101" s="9">
        <v>88</v>
      </c>
      <c r="BY101" s="9">
        <v>75</v>
      </c>
      <c r="BZ101" s="9">
        <v>87</v>
      </c>
      <c r="CA101" s="9">
        <v>88</v>
      </c>
      <c r="CB101" s="9">
        <v>95</v>
      </c>
      <c r="CC101" s="9">
        <v>85</v>
      </c>
      <c r="CD101" s="9">
        <v>84</v>
      </c>
      <c r="CE101" s="9">
        <v>87</v>
      </c>
      <c r="CF101" s="9">
        <v>93</v>
      </c>
      <c r="CG101" s="9">
        <v>81</v>
      </c>
      <c r="CH101" s="9">
        <v>85</v>
      </c>
      <c r="CI101" s="9">
        <v>71</v>
      </c>
      <c r="CJ101" s="9">
        <v>73</v>
      </c>
      <c r="CK101" s="23">
        <f t="shared" si="36"/>
        <v>1049.2313725490196</v>
      </c>
      <c r="CL101">
        <f t="shared" si="37"/>
        <v>294</v>
      </c>
      <c r="CM101">
        <f t="shared" si="38"/>
        <v>310.40882352941179</v>
      </c>
      <c r="CN101" s="23">
        <f t="shared" si="39"/>
        <v>558</v>
      </c>
      <c r="CO101">
        <f t="shared" si="42"/>
        <v>491.23137254901962</v>
      </c>
      <c r="CQ101" s="23">
        <f t="shared" si="40"/>
        <v>602</v>
      </c>
      <c r="CR101" s="23">
        <f t="shared" si="41"/>
        <v>491.23137254901962</v>
      </c>
    </row>
    <row r="102" spans="1:96" ht="29.25">
      <c r="A102" t="str">
        <f t="shared" si="24"/>
        <v>392</v>
      </c>
      <c r="B102">
        <f t="shared" si="27"/>
        <v>392</v>
      </c>
      <c r="C102" s="14" t="s">
        <v>109</v>
      </c>
      <c r="D102" s="11"/>
      <c r="E102" s="9">
        <f>SUM(7.27840909090909*0.5)</f>
        <v>3.639204545454545</v>
      </c>
      <c r="F102" s="9">
        <v>8.3068181818181799</v>
      </c>
      <c r="G102" s="9">
        <v>8.1051136363636402</v>
      </c>
      <c r="H102" s="9">
        <v>3.6420454545454501</v>
      </c>
      <c r="I102" s="9">
        <v>8.8579545454545503</v>
      </c>
      <c r="J102" s="9">
        <v>6.5568181818181799</v>
      </c>
      <c r="K102" s="9">
        <v>13.34375</v>
      </c>
      <c r="L102" s="9">
        <v>10.3522727272727</v>
      </c>
      <c r="M102" s="9">
        <v>4.3181818181818201</v>
      </c>
      <c r="N102" s="9">
        <v>6.9318181818181799</v>
      </c>
      <c r="O102" s="9">
        <v>8.8948863636363598</v>
      </c>
      <c r="P102" s="9">
        <v>5.5738636363636402</v>
      </c>
      <c r="Q102" s="9">
        <v>6.5</v>
      </c>
      <c r="R102" s="9">
        <v>0</v>
      </c>
      <c r="S102" s="9">
        <v>0</v>
      </c>
      <c r="T102" s="9">
        <v>0</v>
      </c>
      <c r="U102" s="9">
        <v>0</v>
      </c>
      <c r="V102" s="9">
        <v>0</v>
      </c>
      <c r="W102" s="9">
        <v>0</v>
      </c>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9">
        <v>0</v>
      </c>
      <c r="AO102" s="9">
        <v>0</v>
      </c>
      <c r="AP102" s="9">
        <v>0</v>
      </c>
      <c r="AQ102" s="9">
        <v>0</v>
      </c>
      <c r="AR102" s="9">
        <v>0</v>
      </c>
      <c r="AS102" s="9">
        <v>0</v>
      </c>
      <c r="AT102" s="9">
        <v>0</v>
      </c>
      <c r="AU102" s="9">
        <v>0</v>
      </c>
      <c r="AV102" s="9">
        <v>0</v>
      </c>
      <c r="AW102" s="9">
        <v>0</v>
      </c>
      <c r="AX102" s="9">
        <f t="shared" si="28"/>
        <v>99.773863636363615</v>
      </c>
      <c r="AY102" s="9">
        <f t="shared" si="29"/>
        <v>24.87784090909091</v>
      </c>
      <c r="AZ102" s="9">
        <f t="shared" si="30"/>
        <v>29.295596590909089</v>
      </c>
      <c r="BA102" s="9">
        <f t="shared" si="31"/>
        <v>55.074289772727276</v>
      </c>
      <c r="BB102" s="9">
        <f t="shared" si="32"/>
        <v>44.699573863636338</v>
      </c>
      <c r="BC102" s="19"/>
      <c r="BD102" s="9">
        <v>81.599999999999994</v>
      </c>
      <c r="BF102" s="257">
        <v>41.28</v>
      </c>
      <c r="BH102" s="252">
        <v>19</v>
      </c>
      <c r="BI102" s="252">
        <f t="shared" si="33"/>
        <v>19</v>
      </c>
      <c r="BJ102" s="252">
        <f t="shared" si="23"/>
        <v>95.022727272727252</v>
      </c>
      <c r="BK102" s="256">
        <f t="shared" si="43"/>
        <v>19</v>
      </c>
      <c r="BP102" s="252">
        <v>0</v>
      </c>
      <c r="BQ102" s="252">
        <f t="shared" si="34"/>
        <v>0</v>
      </c>
      <c r="BR102" s="256">
        <f t="shared" si="35"/>
        <v>95.022727272727252</v>
      </c>
      <c r="BS102" s="255">
        <f t="shared" si="44"/>
        <v>0</v>
      </c>
      <c r="BU102" s="252">
        <v>0</v>
      </c>
      <c r="BW102" s="9">
        <v>3</v>
      </c>
      <c r="BX102" s="9">
        <v>6</v>
      </c>
      <c r="BY102" s="9">
        <v>11</v>
      </c>
      <c r="BZ102" s="9">
        <v>5</v>
      </c>
      <c r="CA102" s="9">
        <v>8</v>
      </c>
      <c r="CB102" s="9">
        <v>3</v>
      </c>
      <c r="CC102" s="9">
        <v>10</v>
      </c>
      <c r="CD102" s="9">
        <v>6</v>
      </c>
      <c r="CE102" s="9">
        <v>14</v>
      </c>
      <c r="CF102" s="9">
        <v>8</v>
      </c>
      <c r="CG102" s="9">
        <v>4</v>
      </c>
      <c r="CH102" s="9">
        <v>7</v>
      </c>
      <c r="CI102" s="9">
        <v>9</v>
      </c>
      <c r="CJ102" s="9">
        <v>5</v>
      </c>
      <c r="CK102" s="23">
        <f t="shared" si="36"/>
        <v>93</v>
      </c>
      <c r="CL102">
        <f t="shared" si="37"/>
        <v>27</v>
      </c>
      <c r="CM102">
        <f t="shared" si="38"/>
        <v>25</v>
      </c>
      <c r="CN102" s="23">
        <f t="shared" si="39"/>
        <v>46</v>
      </c>
      <c r="CO102">
        <f t="shared" si="42"/>
        <v>100</v>
      </c>
      <c r="CQ102" s="23">
        <f t="shared" si="40"/>
        <v>49</v>
      </c>
      <c r="CR102" s="23">
        <f t="shared" si="41"/>
        <v>47</v>
      </c>
    </row>
    <row r="103" spans="1:96" ht="29.25">
      <c r="A103" t="str">
        <f t="shared" si="24"/>
        <v>393</v>
      </c>
      <c r="B103">
        <f t="shared" si="27"/>
        <v>393</v>
      </c>
      <c r="C103" s="14" t="s">
        <v>110</v>
      </c>
      <c r="D103" s="11"/>
      <c r="E103" s="9">
        <f>SUM(30.2068965517241*0.5)</f>
        <v>15.10344827586205</v>
      </c>
      <c r="F103" s="9">
        <v>33.474137931034498</v>
      </c>
      <c r="G103" s="9">
        <v>26.275862068965498</v>
      </c>
      <c r="H103" s="9">
        <v>41.612068965517203</v>
      </c>
      <c r="I103" s="9">
        <v>39.574712643678197</v>
      </c>
      <c r="J103" s="9">
        <v>34.635057471264403</v>
      </c>
      <c r="K103" s="9">
        <v>26.336206896551701</v>
      </c>
      <c r="L103" s="9">
        <v>40.494444444444397</v>
      </c>
      <c r="M103" s="9">
        <v>35.605555555555597</v>
      </c>
      <c r="N103" s="9">
        <v>35.7222222222222</v>
      </c>
      <c r="O103" s="9">
        <v>24.6388888888889</v>
      </c>
      <c r="P103" s="9">
        <v>39.049999999999997</v>
      </c>
      <c r="Q103" s="9">
        <v>37.619444444444397</v>
      </c>
      <c r="R103" s="9">
        <v>0</v>
      </c>
      <c r="S103" s="9">
        <v>0</v>
      </c>
      <c r="T103" s="9">
        <v>0</v>
      </c>
      <c r="U103" s="9">
        <v>0</v>
      </c>
      <c r="V103" s="9">
        <v>0</v>
      </c>
      <c r="W103" s="9">
        <v>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9">
        <v>0</v>
      </c>
      <c r="AS103" s="9">
        <v>0</v>
      </c>
      <c r="AT103" s="9">
        <v>0</v>
      </c>
      <c r="AU103" s="9">
        <v>0</v>
      </c>
      <c r="AV103" s="9">
        <v>0</v>
      </c>
      <c r="AW103" s="9">
        <v>0</v>
      </c>
      <c r="AX103" s="9">
        <f t="shared" si="28"/>
        <v>451.64915229885059</v>
      </c>
      <c r="AY103" s="9">
        <f t="shared" si="29"/>
        <v>122.28879310344821</v>
      </c>
      <c r="AZ103" s="9">
        <f t="shared" si="30"/>
        <v>143.8820833333333</v>
      </c>
      <c r="BA103" s="9">
        <f t="shared" si="31"/>
        <v>227.86206896551724</v>
      </c>
      <c r="BB103" s="9">
        <f t="shared" si="32"/>
        <v>223.78708333333333</v>
      </c>
      <c r="BC103" s="19"/>
      <c r="BD103" s="9">
        <v>251</v>
      </c>
      <c r="BF103" s="252">
        <v>272</v>
      </c>
      <c r="BH103" s="252">
        <v>83</v>
      </c>
      <c r="BI103" s="252">
        <f t="shared" si="33"/>
        <v>83</v>
      </c>
      <c r="BJ103" s="252">
        <f t="shared" si="23"/>
        <v>430.14204980842914</v>
      </c>
      <c r="BK103" s="256">
        <f t="shared" si="43"/>
        <v>83</v>
      </c>
      <c r="BP103" s="252" t="s">
        <v>239</v>
      </c>
      <c r="BQ103" s="252" t="str">
        <f t="shared" si="34"/>
        <v/>
      </c>
      <c r="BR103" s="256" t="str">
        <f t="shared" si="35"/>
        <v/>
      </c>
      <c r="BS103" s="255">
        <f t="shared" si="44"/>
        <v>38.633598745560413</v>
      </c>
      <c r="BU103" s="252">
        <v>17</v>
      </c>
      <c r="BW103" s="9">
        <v>9</v>
      </c>
      <c r="BX103" s="9">
        <v>43</v>
      </c>
      <c r="BY103" s="9">
        <v>30</v>
      </c>
      <c r="BZ103" s="9">
        <v>36</v>
      </c>
      <c r="CA103" s="9">
        <v>33</v>
      </c>
      <c r="CB103" s="9">
        <v>40</v>
      </c>
      <c r="CC103" s="9">
        <v>40</v>
      </c>
      <c r="CD103" s="9">
        <v>39</v>
      </c>
      <c r="CE103" s="9">
        <v>32</v>
      </c>
      <c r="CF103" s="9">
        <v>43</v>
      </c>
      <c r="CG103" s="9">
        <v>38</v>
      </c>
      <c r="CH103" s="9">
        <v>37</v>
      </c>
      <c r="CI103" s="9">
        <v>29</v>
      </c>
      <c r="CJ103" s="9">
        <v>41</v>
      </c>
      <c r="CK103" s="23">
        <f t="shared" si="36"/>
        <v>459.5</v>
      </c>
      <c r="CL103">
        <f t="shared" si="37"/>
        <v>120.5</v>
      </c>
      <c r="CM103">
        <f t="shared" si="38"/>
        <v>145</v>
      </c>
      <c r="CN103" s="23">
        <f t="shared" si="39"/>
        <v>239.5</v>
      </c>
      <c r="CO103">
        <f t="shared" si="42"/>
        <v>220</v>
      </c>
      <c r="CQ103" s="23">
        <f t="shared" si="40"/>
        <v>261</v>
      </c>
      <c r="CR103" s="23">
        <f t="shared" si="41"/>
        <v>220</v>
      </c>
    </row>
    <row r="104" spans="1:96" ht="29.25">
      <c r="A104" t="str">
        <f t="shared" si="24"/>
        <v>394</v>
      </c>
      <c r="B104">
        <f t="shared" si="27"/>
        <v>394</v>
      </c>
      <c r="C104" s="14" t="s">
        <v>111</v>
      </c>
      <c r="D104" s="11"/>
      <c r="E104" s="9">
        <f>SUM(0.985294117647059*0.5)</f>
        <v>0.49264705882352949</v>
      </c>
      <c r="F104" s="9">
        <v>1.95220588235294</v>
      </c>
      <c r="G104" s="9">
        <v>1.9448529411764699</v>
      </c>
      <c r="H104" s="9">
        <v>1.9595588235294099</v>
      </c>
      <c r="I104" s="9">
        <v>4.8933823529411802</v>
      </c>
      <c r="J104" s="9">
        <v>0.95588235294117696</v>
      </c>
      <c r="K104" s="9">
        <v>1.9779411764705901</v>
      </c>
      <c r="L104" s="9">
        <v>0</v>
      </c>
      <c r="M104" s="9">
        <v>0.97794117647058798</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9">
        <v>0</v>
      </c>
      <c r="AS104" s="9">
        <v>0</v>
      </c>
      <c r="AT104" s="9">
        <v>0</v>
      </c>
      <c r="AU104" s="9">
        <v>0</v>
      </c>
      <c r="AV104" s="9">
        <v>0</v>
      </c>
      <c r="AW104" s="9">
        <v>0</v>
      </c>
      <c r="AX104" s="9">
        <f t="shared" si="28"/>
        <v>15.91213235294118</v>
      </c>
      <c r="AY104" s="9">
        <f t="shared" si="29"/>
        <v>6.6667279411764673</v>
      </c>
      <c r="AZ104" s="9">
        <f t="shared" si="30"/>
        <v>0</v>
      </c>
      <c r="BA104" s="9">
        <f t="shared" si="31"/>
        <v>14.885294117647062</v>
      </c>
      <c r="BB104" s="9">
        <f t="shared" si="32"/>
        <v>1.0268382352941174</v>
      </c>
      <c r="BC104" s="19"/>
      <c r="BD104" s="9">
        <v>7.98</v>
      </c>
      <c r="BF104" s="257">
        <v>7.74</v>
      </c>
      <c r="BH104" s="252" t="e">
        <v>#N/A</v>
      </c>
      <c r="BI104" s="252" t="str">
        <f t="shared" si="33"/>
        <v/>
      </c>
      <c r="BJ104" s="252" t="str">
        <f t="shared" si="23"/>
        <v/>
      </c>
      <c r="BK104" s="256">
        <f t="shared" si="43"/>
        <v>1.8801014175458666</v>
      </c>
      <c r="BP104" s="252">
        <v>0</v>
      </c>
      <c r="BQ104" s="252">
        <f t="shared" si="34"/>
        <v>0</v>
      </c>
      <c r="BR104" s="256">
        <f t="shared" si="35"/>
        <v>15.154411764705886</v>
      </c>
      <c r="BS104" s="255">
        <f t="shared" si="44"/>
        <v>0</v>
      </c>
      <c r="BU104" s="252">
        <v>0</v>
      </c>
      <c r="BW104" s="9">
        <v>0</v>
      </c>
      <c r="BX104" s="9">
        <v>2</v>
      </c>
      <c r="BY104" s="9">
        <v>2</v>
      </c>
      <c r="BZ104" s="9">
        <v>1</v>
      </c>
      <c r="CA104" s="9">
        <v>4</v>
      </c>
      <c r="CB104" s="9">
        <v>1</v>
      </c>
      <c r="CC104" s="9">
        <v>4</v>
      </c>
      <c r="CD104" s="9">
        <v>2</v>
      </c>
      <c r="CE104" s="9">
        <v>2</v>
      </c>
      <c r="CF104" s="9">
        <v>0</v>
      </c>
      <c r="CG104" s="9">
        <v>0</v>
      </c>
      <c r="CH104" s="9">
        <v>0</v>
      </c>
      <c r="CI104" s="9">
        <v>0</v>
      </c>
      <c r="CJ104" s="9">
        <v>0</v>
      </c>
      <c r="CK104" s="23">
        <f t="shared" si="36"/>
        <v>17</v>
      </c>
      <c r="CL104">
        <f t="shared" si="37"/>
        <v>8</v>
      </c>
      <c r="CM104">
        <f t="shared" si="38"/>
        <v>0</v>
      </c>
      <c r="CN104" s="23">
        <f t="shared" si="39"/>
        <v>15</v>
      </c>
      <c r="CO104" s="176">
        <f>SUM(CE104:CJ104)+((AK104+AL104+AM104+AN104+AO104+AP104+AR104+AS104+AT104+AU104+AV104+AW104)*0.25)</f>
        <v>2</v>
      </c>
      <c r="CQ104" s="23">
        <f t="shared" si="40"/>
        <v>16</v>
      </c>
      <c r="CR104" s="23">
        <f t="shared" si="41"/>
        <v>2</v>
      </c>
    </row>
    <row r="105" spans="1:96" ht="29.25">
      <c r="A105" t="str">
        <f t="shared" si="24"/>
        <v>401</v>
      </c>
      <c r="B105">
        <f t="shared" si="27"/>
        <v>401</v>
      </c>
      <c r="C105" s="14" t="s">
        <v>112</v>
      </c>
      <c r="D105" s="11"/>
      <c r="E105" s="9">
        <f>SUM(124.331288343558*0.5)</f>
        <v>62.165644171779</v>
      </c>
      <c r="F105" s="9">
        <v>126.97239263803699</v>
      </c>
      <c r="G105" s="9">
        <v>130.92638036809799</v>
      </c>
      <c r="H105" s="9">
        <v>147.01226993865001</v>
      </c>
      <c r="I105" s="9">
        <v>126.822085889571</v>
      </c>
      <c r="J105" s="9">
        <v>153.73006134969299</v>
      </c>
      <c r="K105" s="9">
        <v>128.97256097561001</v>
      </c>
      <c r="L105" s="9">
        <v>132.131097560976</v>
      </c>
      <c r="M105" s="9">
        <v>114.798780487805</v>
      </c>
      <c r="N105" s="9">
        <v>123.342424242424</v>
      </c>
      <c r="O105" s="9">
        <v>131.690909090909</v>
      </c>
      <c r="P105" s="9">
        <v>88.906060606060606</v>
      </c>
      <c r="Q105" s="9">
        <v>91.245454545454606</v>
      </c>
      <c r="R105" s="9">
        <v>0</v>
      </c>
      <c r="S105" s="9">
        <v>0</v>
      </c>
      <c r="T105" s="9">
        <v>0</v>
      </c>
      <c r="U105" s="9">
        <v>0.74744680851063805</v>
      </c>
      <c r="V105" s="9">
        <v>0</v>
      </c>
      <c r="W105" s="9">
        <v>5.2713698795180699</v>
      </c>
      <c r="X105" s="9">
        <v>10.542270843373499</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9">
        <v>0</v>
      </c>
      <c r="AO105" s="9">
        <v>0</v>
      </c>
      <c r="AP105" s="9">
        <v>0</v>
      </c>
      <c r="AQ105" s="9">
        <v>0</v>
      </c>
      <c r="AR105" s="9">
        <v>0</v>
      </c>
      <c r="AS105" s="9">
        <v>0</v>
      </c>
      <c r="AT105" s="9">
        <v>0</v>
      </c>
      <c r="AU105" s="9">
        <v>0</v>
      </c>
      <c r="AV105" s="9">
        <v>0</v>
      </c>
      <c r="AW105" s="9">
        <v>0</v>
      </c>
      <c r="AX105" s="9">
        <f t="shared" si="28"/>
        <v>1654.0410698662929</v>
      </c>
      <c r="AY105" s="9">
        <f t="shared" si="29"/>
        <v>490.43052147239223</v>
      </c>
      <c r="AZ105" s="9">
        <f t="shared" si="30"/>
        <v>474.33323281706294</v>
      </c>
      <c r="BA105" s="9">
        <f t="shared" si="31"/>
        <v>920.43146509800988</v>
      </c>
      <c r="BB105" s="9">
        <f t="shared" si="32"/>
        <v>733.60960476828291</v>
      </c>
      <c r="BC105" s="19"/>
      <c r="BD105" s="9">
        <v>665</v>
      </c>
      <c r="BF105" s="252">
        <v>738</v>
      </c>
      <c r="BH105" s="252">
        <v>212</v>
      </c>
      <c r="BI105" s="252">
        <f t="shared" si="33"/>
        <v>212</v>
      </c>
      <c r="BJ105" s="252">
        <f t="shared" si="23"/>
        <v>1558.7161218650672</v>
      </c>
      <c r="BK105" s="256">
        <f t="shared" si="43"/>
        <v>212</v>
      </c>
      <c r="BP105" s="252">
        <v>317</v>
      </c>
      <c r="BQ105" s="252">
        <f t="shared" si="34"/>
        <v>317</v>
      </c>
      <c r="BR105" s="256">
        <f t="shared" si="35"/>
        <v>1558.7161218650672</v>
      </c>
      <c r="BS105" s="255">
        <f t="shared" si="44"/>
        <v>317</v>
      </c>
      <c r="BU105" s="252">
        <v>11</v>
      </c>
      <c r="BW105" s="9">
        <v>18</v>
      </c>
      <c r="BX105" s="9">
        <v>136</v>
      </c>
      <c r="BY105" s="9">
        <v>130</v>
      </c>
      <c r="BZ105" s="9">
        <v>133</v>
      </c>
      <c r="CA105" s="9">
        <v>145</v>
      </c>
      <c r="CB105" s="9">
        <v>155</v>
      </c>
      <c r="CC105" s="9">
        <v>138</v>
      </c>
      <c r="CD105" s="9">
        <v>170</v>
      </c>
      <c r="CE105" s="9">
        <v>148</v>
      </c>
      <c r="CF105" s="9">
        <v>143</v>
      </c>
      <c r="CG105" s="9">
        <v>128</v>
      </c>
      <c r="CH105" s="9">
        <v>137</v>
      </c>
      <c r="CI105" s="9">
        <v>143</v>
      </c>
      <c r="CJ105" s="9">
        <v>109</v>
      </c>
      <c r="CK105" s="23">
        <f t="shared" si="36"/>
        <v>1747</v>
      </c>
      <c r="CL105">
        <f t="shared" si="37"/>
        <v>476</v>
      </c>
      <c r="CM105">
        <f t="shared" si="38"/>
        <v>517</v>
      </c>
      <c r="CN105" s="23">
        <f t="shared" si="39"/>
        <v>939</v>
      </c>
      <c r="CO105">
        <f t="shared" si="42"/>
        <v>808</v>
      </c>
      <c r="CQ105" s="23">
        <f t="shared" si="40"/>
        <v>1007</v>
      </c>
      <c r="CR105" s="23">
        <f t="shared" si="41"/>
        <v>808</v>
      </c>
    </row>
    <row r="106" spans="1:96" ht="29.25">
      <c r="A106" t="str">
        <f t="shared" si="24"/>
        <v>411</v>
      </c>
      <c r="B106">
        <f t="shared" si="27"/>
        <v>411</v>
      </c>
      <c r="C106" s="14" t="s">
        <v>113</v>
      </c>
      <c r="D106" s="11"/>
      <c r="E106" s="9">
        <f>SUM(663.436755364768*0.5)</f>
        <v>331.71837768238402</v>
      </c>
      <c r="F106" s="9">
        <v>741.20882352941203</v>
      </c>
      <c r="G106" s="9">
        <v>722.15294117647102</v>
      </c>
      <c r="H106" s="9">
        <v>739.85294117647095</v>
      </c>
      <c r="I106" s="9">
        <v>743.89411764705903</v>
      </c>
      <c r="J106" s="9">
        <v>748.27058823529399</v>
      </c>
      <c r="K106" s="9">
        <v>700.50882352941198</v>
      </c>
      <c r="L106" s="9">
        <v>642.02058823529399</v>
      </c>
      <c r="M106" s="9">
        <v>659.081189856724</v>
      </c>
      <c r="N106" s="9">
        <v>608.04194588042901</v>
      </c>
      <c r="O106" s="9">
        <v>614.73687642411301</v>
      </c>
      <c r="P106" s="9">
        <v>540.67109715141305</v>
      </c>
      <c r="Q106" s="9">
        <v>500.73092824280297</v>
      </c>
      <c r="R106" s="9">
        <v>0</v>
      </c>
      <c r="S106" s="9">
        <v>18.378497647058801</v>
      </c>
      <c r="T106" s="9">
        <v>25.061244941176501</v>
      </c>
      <c r="U106" s="9">
        <v>2.6613898117386499</v>
      </c>
      <c r="V106" s="9">
        <v>22.526957644654701</v>
      </c>
      <c r="W106" s="9">
        <v>38.955988875291297</v>
      </c>
      <c r="X106" s="9">
        <v>92.988749017139597</v>
      </c>
      <c r="Y106" s="9">
        <v>0.15</v>
      </c>
      <c r="Z106" s="9">
        <v>0.1</v>
      </c>
      <c r="AA106" s="9">
        <v>0.26785714285714302</v>
      </c>
      <c r="AB106" s="9">
        <v>0.48936170212766</v>
      </c>
      <c r="AC106" s="9">
        <v>1.1294964028776999</v>
      </c>
      <c r="AD106" s="9">
        <v>2.3634172512142602</v>
      </c>
      <c r="AE106" s="9">
        <v>2.8018018018017998</v>
      </c>
      <c r="AF106" s="9">
        <v>1.78488372093023</v>
      </c>
      <c r="AG106" s="9">
        <v>1.46616541353383</v>
      </c>
      <c r="AH106" s="9">
        <v>0</v>
      </c>
      <c r="AI106" s="9">
        <v>1.7857142857142901E-2</v>
      </c>
      <c r="AJ106" s="9">
        <v>8.9285714285714302E-2</v>
      </c>
      <c r="AK106" s="9">
        <v>0.9375</v>
      </c>
      <c r="AL106" s="9">
        <v>2.5089285714285698</v>
      </c>
      <c r="AM106" s="9">
        <v>1.9910714285714299</v>
      </c>
      <c r="AN106" s="9">
        <v>2.96428571428571</v>
      </c>
      <c r="AO106" s="9">
        <v>2.5535714285714302</v>
      </c>
      <c r="AP106" s="9">
        <v>1.9285714285714299</v>
      </c>
      <c r="AQ106" s="9">
        <v>12.8813725490196</v>
      </c>
      <c r="AR106" s="9">
        <v>20.8313254901961</v>
      </c>
      <c r="AS106" s="9">
        <v>20.8882117647059</v>
      </c>
      <c r="AT106" s="9">
        <v>37.797592156862699</v>
      </c>
      <c r="AU106" s="9">
        <v>27.649937254901999</v>
      </c>
      <c r="AV106" s="9">
        <v>28.3891568627451</v>
      </c>
      <c r="AW106" s="9">
        <v>6.2367725490196104</v>
      </c>
      <c r="AX106" s="9">
        <f t="shared" si="28"/>
        <v>9105.2645147054936</v>
      </c>
      <c r="AY106" s="9">
        <f t="shared" si="29"/>
        <v>2661.6797377429748</v>
      </c>
      <c r="AZ106" s="9">
        <f t="shared" si="30"/>
        <v>2666.2032180615215</v>
      </c>
      <c r="BA106" s="9">
        <f t="shared" si="31"/>
        <v>4978.1686348017984</v>
      </c>
      <c r="BB106" s="9">
        <f t="shared" si="32"/>
        <v>4127.0958799036898</v>
      </c>
      <c r="BC106" s="19"/>
      <c r="BD106" s="9">
        <v>5285.8</v>
      </c>
      <c r="BF106" s="252">
        <v>6333</v>
      </c>
      <c r="BH106" s="252">
        <v>981</v>
      </c>
      <c r="BI106" s="252">
        <f t="shared" si="33"/>
        <v>981</v>
      </c>
      <c r="BJ106" s="252">
        <f t="shared" si="23"/>
        <v>8292.8892387672768</v>
      </c>
      <c r="BK106" s="256">
        <f t="shared" si="43"/>
        <v>981</v>
      </c>
      <c r="BP106" s="252">
        <v>1026</v>
      </c>
      <c r="BQ106" s="252">
        <f t="shared" si="34"/>
        <v>1026</v>
      </c>
      <c r="BR106" s="256">
        <f t="shared" si="35"/>
        <v>8292.8892387672768</v>
      </c>
      <c r="BS106" s="255">
        <f t="shared" si="44"/>
        <v>1026</v>
      </c>
      <c r="BU106" s="252">
        <v>183</v>
      </c>
      <c r="BW106" s="9">
        <v>89</v>
      </c>
      <c r="BX106" s="9">
        <v>734</v>
      </c>
      <c r="BY106" s="9">
        <v>762</v>
      </c>
      <c r="BZ106" s="9">
        <v>793</v>
      </c>
      <c r="CA106" s="9">
        <v>768</v>
      </c>
      <c r="CB106" s="9">
        <v>761</v>
      </c>
      <c r="CC106" s="9">
        <v>782</v>
      </c>
      <c r="CD106" s="9">
        <v>783</v>
      </c>
      <c r="CE106" s="9">
        <v>763</v>
      </c>
      <c r="CF106" s="9">
        <v>683</v>
      </c>
      <c r="CG106" s="9">
        <v>745</v>
      </c>
      <c r="CH106" s="9">
        <v>609</v>
      </c>
      <c r="CI106" s="9">
        <v>596</v>
      </c>
      <c r="CJ106" s="9">
        <v>611</v>
      </c>
      <c r="CK106" s="23">
        <f t="shared" si="36"/>
        <v>9064.9163600140055</v>
      </c>
      <c r="CL106">
        <f t="shared" si="37"/>
        <v>2690</v>
      </c>
      <c r="CM106">
        <f t="shared" si="38"/>
        <v>2588.3777397058825</v>
      </c>
      <c r="CN106" s="23">
        <f t="shared" si="39"/>
        <v>5019.2426645658261</v>
      </c>
      <c r="CO106">
        <f t="shared" si="42"/>
        <v>4045.6692311624652</v>
      </c>
      <c r="CQ106" s="23">
        <f t="shared" si="40"/>
        <v>5386.2426645658261</v>
      </c>
      <c r="CR106" s="23">
        <f t="shared" si="41"/>
        <v>4045.6692311624652</v>
      </c>
    </row>
    <row r="107" spans="1:96" ht="29.25">
      <c r="A107" t="str">
        <f t="shared" si="24"/>
        <v>412</v>
      </c>
      <c r="B107">
        <f t="shared" si="27"/>
        <v>412</v>
      </c>
      <c r="C107" s="14" t="s">
        <v>114</v>
      </c>
      <c r="D107" s="11"/>
      <c r="E107" s="9">
        <f>SUM(95.1941176470588*0.5)</f>
        <v>47.597058823529402</v>
      </c>
      <c r="F107" s="9">
        <v>96.336257309941502</v>
      </c>
      <c r="G107" s="9">
        <v>93.029239766081901</v>
      </c>
      <c r="H107" s="9">
        <v>111.53216374269</v>
      </c>
      <c r="I107" s="9">
        <v>81.526315789473699</v>
      </c>
      <c r="J107" s="9">
        <v>106.830409356725</v>
      </c>
      <c r="K107" s="9">
        <v>113.37134502924</v>
      </c>
      <c r="L107" s="9">
        <v>101.17836257309899</v>
      </c>
      <c r="M107" s="9">
        <v>90.988304093567294</v>
      </c>
      <c r="N107" s="9">
        <v>89.529239766081901</v>
      </c>
      <c r="O107" s="9">
        <v>78.210526315789494</v>
      </c>
      <c r="P107" s="9">
        <v>72</v>
      </c>
      <c r="Q107" s="9">
        <v>72.081871345029199</v>
      </c>
      <c r="R107" s="9">
        <v>0</v>
      </c>
      <c r="S107" s="9">
        <v>0</v>
      </c>
      <c r="T107" s="9">
        <v>0</v>
      </c>
      <c r="U107" s="9">
        <v>0.66482758620689697</v>
      </c>
      <c r="V107" s="9">
        <v>3.1330879999999999</v>
      </c>
      <c r="W107" s="9">
        <v>6.4362404848484802</v>
      </c>
      <c r="X107" s="9">
        <v>8.1016518787878802</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9">
        <v>0</v>
      </c>
      <c r="AO107" s="9">
        <v>0</v>
      </c>
      <c r="AP107" s="9">
        <v>0</v>
      </c>
      <c r="AQ107" s="9">
        <v>3.9509803921568598</v>
      </c>
      <c r="AR107" s="9">
        <v>8.7686274509803894</v>
      </c>
      <c r="AS107" s="9">
        <v>5.7607843137254902</v>
      </c>
      <c r="AT107" s="9">
        <v>1.1607843137254901</v>
      </c>
      <c r="AU107" s="9">
        <v>0.73725490196078403</v>
      </c>
      <c r="AV107" s="9">
        <v>0.94117647058823495</v>
      </c>
      <c r="AW107" s="9">
        <v>0.47058823529411797</v>
      </c>
      <c r="AX107" s="9">
        <f t="shared" si="28"/>
        <v>1254.0539528364993</v>
      </c>
      <c r="AY107" s="9">
        <f t="shared" si="29"/>
        <v>365.91945562435495</v>
      </c>
      <c r="AZ107" s="9">
        <f t="shared" si="30"/>
        <v>350.14061176322809</v>
      </c>
      <c r="BA107" s="9">
        <f t="shared" si="31"/>
        <v>686.88245872033031</v>
      </c>
      <c r="BB107" s="9">
        <f t="shared" si="32"/>
        <v>567.1714941161689</v>
      </c>
      <c r="BC107" s="19"/>
      <c r="BD107" s="9">
        <v>800.8</v>
      </c>
      <c r="BF107" s="252">
        <v>1098</v>
      </c>
      <c r="BH107" s="252">
        <v>149</v>
      </c>
      <c r="BI107" s="252">
        <f t="shared" si="33"/>
        <v>149</v>
      </c>
      <c r="BJ107" s="252">
        <f t="shared" si="23"/>
        <v>1154.2110939112483</v>
      </c>
      <c r="BK107" s="256">
        <f t="shared" si="43"/>
        <v>149</v>
      </c>
      <c r="BP107" s="252">
        <v>225</v>
      </c>
      <c r="BQ107" s="252">
        <f t="shared" si="34"/>
        <v>225</v>
      </c>
      <c r="BR107" s="256">
        <f t="shared" si="35"/>
        <v>1154.2110939112483</v>
      </c>
      <c r="BS107" s="255">
        <f t="shared" si="44"/>
        <v>225</v>
      </c>
      <c r="BU107" s="252">
        <v>28</v>
      </c>
      <c r="BW107" s="9">
        <v>6</v>
      </c>
      <c r="BX107" s="9">
        <v>91</v>
      </c>
      <c r="BY107" s="9">
        <v>103</v>
      </c>
      <c r="BZ107" s="9">
        <v>98</v>
      </c>
      <c r="CA107" s="9">
        <v>101</v>
      </c>
      <c r="CB107" s="9">
        <v>114</v>
      </c>
      <c r="CC107" s="9">
        <v>83</v>
      </c>
      <c r="CD107" s="9">
        <v>109</v>
      </c>
      <c r="CE107" s="9">
        <v>112</v>
      </c>
      <c r="CF107" s="9">
        <v>103</v>
      </c>
      <c r="CG107" s="9">
        <v>90</v>
      </c>
      <c r="CH107" s="9">
        <v>89</v>
      </c>
      <c r="CI107" s="9">
        <v>84</v>
      </c>
      <c r="CJ107" s="9">
        <v>76</v>
      </c>
      <c r="CK107" s="23">
        <f t="shared" si="36"/>
        <v>1212.9475490196078</v>
      </c>
      <c r="CL107">
        <f t="shared" si="37"/>
        <v>347.5</v>
      </c>
      <c r="CM107">
        <f t="shared" si="38"/>
        <v>339.82745098039214</v>
      </c>
      <c r="CN107" s="23">
        <f t="shared" si="39"/>
        <v>654.48774509803923</v>
      </c>
      <c r="CO107">
        <f t="shared" si="42"/>
        <v>558.45980392156866</v>
      </c>
      <c r="CQ107" s="23">
        <f t="shared" si="40"/>
        <v>699.98774509803923</v>
      </c>
      <c r="CR107" s="23">
        <f t="shared" si="41"/>
        <v>558.45980392156866</v>
      </c>
    </row>
    <row r="108" spans="1:96" ht="29.25">
      <c r="A108" t="str">
        <f t="shared" si="24"/>
        <v>413</v>
      </c>
      <c r="B108">
        <f t="shared" si="27"/>
        <v>413</v>
      </c>
      <c r="C108" s="14" t="s">
        <v>115</v>
      </c>
      <c r="D108" s="11"/>
      <c r="E108" s="9">
        <f>SUM(103.424985733239*0.5)</f>
        <v>51.712492866619499</v>
      </c>
      <c r="F108" s="9">
        <v>90.845238095238102</v>
      </c>
      <c r="G108" s="9">
        <v>118.619047619048</v>
      </c>
      <c r="H108" s="9">
        <v>109.532738095238</v>
      </c>
      <c r="I108" s="9">
        <v>139.291666666667</v>
      </c>
      <c r="J108" s="9">
        <v>132.541666666667</v>
      </c>
      <c r="K108" s="9">
        <v>124.017857142857</v>
      </c>
      <c r="L108" s="9">
        <v>148.544642857143</v>
      </c>
      <c r="M108" s="9">
        <v>115.24702380952399</v>
      </c>
      <c r="N108" s="9">
        <v>136.37797619047601</v>
      </c>
      <c r="O108" s="9">
        <v>114.142857142857</v>
      </c>
      <c r="P108" s="9">
        <v>115.02380952381</v>
      </c>
      <c r="Q108" s="9">
        <v>98.657738095238102</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9">
        <v>0</v>
      </c>
      <c r="AO108" s="9">
        <v>0</v>
      </c>
      <c r="AP108" s="9">
        <v>0</v>
      </c>
      <c r="AQ108" s="9">
        <v>0</v>
      </c>
      <c r="AR108" s="9">
        <v>0</v>
      </c>
      <c r="AS108" s="9">
        <v>0</v>
      </c>
      <c r="AT108" s="9">
        <v>0</v>
      </c>
      <c r="AU108" s="9">
        <v>0</v>
      </c>
      <c r="AV108" s="9">
        <v>0</v>
      </c>
      <c r="AW108" s="9">
        <v>0</v>
      </c>
      <c r="AX108" s="9">
        <f t="shared" si="28"/>
        <v>1569.2824925099519</v>
      </c>
      <c r="AY108" s="9">
        <f t="shared" si="29"/>
        <v>389.24499250995081</v>
      </c>
      <c r="AZ108" s="9">
        <f t="shared" si="30"/>
        <v>487.41250000000014</v>
      </c>
      <c r="BA108" s="9">
        <f t="shared" si="31"/>
        <v>804.88874250995127</v>
      </c>
      <c r="BB108" s="9">
        <f t="shared" si="32"/>
        <v>764.39375000000052</v>
      </c>
      <c r="BC108" s="19"/>
      <c r="BD108" s="9">
        <v>677</v>
      </c>
      <c r="BF108" s="252">
        <v>569</v>
      </c>
      <c r="BH108" s="252">
        <v>159</v>
      </c>
      <c r="BI108" s="252">
        <f t="shared" si="33"/>
        <v>159</v>
      </c>
      <c r="BJ108" s="252">
        <f t="shared" si="23"/>
        <v>1494.5547547713827</v>
      </c>
      <c r="BK108" s="256">
        <f t="shared" si="43"/>
        <v>159</v>
      </c>
      <c r="BP108" s="252">
        <v>56</v>
      </c>
      <c r="BQ108" s="252">
        <f t="shared" si="34"/>
        <v>56</v>
      </c>
      <c r="BR108" s="256">
        <f t="shared" si="35"/>
        <v>1494.5547547713827</v>
      </c>
      <c r="BS108" s="255">
        <f t="shared" si="44"/>
        <v>56</v>
      </c>
      <c r="BU108" s="252">
        <v>0</v>
      </c>
      <c r="BW108" s="9">
        <v>28</v>
      </c>
      <c r="BX108" s="9">
        <v>99</v>
      </c>
      <c r="BY108" s="9">
        <v>118</v>
      </c>
      <c r="BZ108" s="9">
        <v>100</v>
      </c>
      <c r="CA108" s="9">
        <v>125</v>
      </c>
      <c r="CB108" s="9">
        <v>116</v>
      </c>
      <c r="CC108" s="9">
        <v>149</v>
      </c>
      <c r="CD108" s="9">
        <v>149</v>
      </c>
      <c r="CE108" s="9">
        <v>134</v>
      </c>
      <c r="CF108" s="9">
        <v>155</v>
      </c>
      <c r="CG108" s="9">
        <v>131</v>
      </c>
      <c r="CH108" s="9">
        <v>136</v>
      </c>
      <c r="CI108" s="9">
        <v>117</v>
      </c>
      <c r="CJ108" s="9">
        <v>116</v>
      </c>
      <c r="CK108" s="23">
        <f t="shared" si="36"/>
        <v>1595.5</v>
      </c>
      <c r="CL108">
        <f t="shared" si="37"/>
        <v>392.5</v>
      </c>
      <c r="CM108">
        <f t="shared" si="38"/>
        <v>500</v>
      </c>
      <c r="CN108" s="23">
        <f t="shared" si="39"/>
        <v>806.5</v>
      </c>
      <c r="CO108">
        <f t="shared" si="42"/>
        <v>789</v>
      </c>
      <c r="CQ108" s="23">
        <f t="shared" si="40"/>
        <v>856</v>
      </c>
      <c r="CR108" s="23">
        <f t="shared" si="41"/>
        <v>789</v>
      </c>
    </row>
    <row r="109" spans="1:96" ht="29.25">
      <c r="A109" t="str">
        <f t="shared" si="24"/>
        <v>414</v>
      </c>
      <c r="B109">
        <f t="shared" si="27"/>
        <v>414</v>
      </c>
      <c r="C109" s="14" t="s">
        <v>116</v>
      </c>
      <c r="D109" s="11"/>
      <c r="E109" s="9">
        <f>SUM(148.136645962733*0.5)</f>
        <v>74.068322981366506</v>
      </c>
      <c r="F109" s="9">
        <v>125.10882352941201</v>
      </c>
      <c r="G109" s="9">
        <v>158.87647058823501</v>
      </c>
      <c r="H109" s="9">
        <v>136.35882352941201</v>
      </c>
      <c r="I109" s="9">
        <v>160.708823529412</v>
      </c>
      <c r="J109" s="9">
        <v>153.56176470588201</v>
      </c>
      <c r="K109" s="9">
        <v>151.47953216374299</v>
      </c>
      <c r="L109" s="9">
        <v>137.07894736842101</v>
      </c>
      <c r="M109" s="9">
        <v>137.93274853801199</v>
      </c>
      <c r="N109" s="9">
        <v>135.69005847953201</v>
      </c>
      <c r="O109" s="9">
        <v>135.59064327485399</v>
      </c>
      <c r="P109" s="9">
        <v>117.938596491228</v>
      </c>
      <c r="Q109" s="9">
        <v>116.421052631579</v>
      </c>
      <c r="R109" s="9">
        <v>0</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c r="AO109" s="9">
        <v>0</v>
      </c>
      <c r="AP109" s="9">
        <v>0</v>
      </c>
      <c r="AQ109" s="9">
        <v>0</v>
      </c>
      <c r="AR109" s="9">
        <v>0</v>
      </c>
      <c r="AS109" s="9">
        <v>0</v>
      </c>
      <c r="AT109" s="9">
        <v>4.6431372549019603</v>
      </c>
      <c r="AU109" s="9">
        <v>6.7137254901960803</v>
      </c>
      <c r="AV109" s="9">
        <v>7.5137254901960802</v>
      </c>
      <c r="AW109" s="9">
        <v>1.03529411764706</v>
      </c>
      <c r="AX109" s="9">
        <f t="shared" si="28"/>
        <v>1848.7565146722313</v>
      </c>
      <c r="AY109" s="9">
        <f t="shared" si="29"/>
        <v>519.13306265984681</v>
      </c>
      <c r="AZ109" s="9">
        <f t="shared" si="30"/>
        <v>551.82354489164084</v>
      </c>
      <c r="BA109" s="9">
        <f t="shared" si="31"/>
        <v>1008.1706890788357</v>
      </c>
      <c r="BB109" s="9">
        <f t="shared" si="32"/>
        <v>840.5858255933955</v>
      </c>
      <c r="BC109" s="19"/>
      <c r="BD109" s="9">
        <v>625</v>
      </c>
      <c r="BF109" s="252">
        <v>660</v>
      </c>
      <c r="BH109" s="252">
        <v>145</v>
      </c>
      <c r="BI109" s="252">
        <f t="shared" si="33"/>
        <v>145</v>
      </c>
      <c r="BJ109" s="252">
        <f t="shared" si="23"/>
        <v>1740.8146078110885</v>
      </c>
      <c r="BK109" s="256">
        <f t="shared" si="43"/>
        <v>145</v>
      </c>
      <c r="BP109" s="252">
        <v>80</v>
      </c>
      <c r="BQ109" s="252">
        <f t="shared" si="34"/>
        <v>80</v>
      </c>
      <c r="BR109" s="256">
        <f t="shared" si="35"/>
        <v>1740.8146078110885</v>
      </c>
      <c r="BS109" s="255">
        <f t="shared" si="44"/>
        <v>80</v>
      </c>
      <c r="BU109" s="252">
        <v>76</v>
      </c>
      <c r="BW109" s="9">
        <v>28</v>
      </c>
      <c r="BX109" s="9">
        <v>138</v>
      </c>
      <c r="BY109" s="9">
        <v>164</v>
      </c>
      <c r="BZ109" s="9">
        <v>141</v>
      </c>
      <c r="CA109" s="9">
        <v>169</v>
      </c>
      <c r="CB109" s="9">
        <v>156</v>
      </c>
      <c r="CC109" s="9">
        <v>183</v>
      </c>
      <c r="CD109" s="9">
        <v>166</v>
      </c>
      <c r="CE109" s="9">
        <v>154</v>
      </c>
      <c r="CF109" s="9">
        <v>149</v>
      </c>
      <c r="CG109" s="9">
        <v>148</v>
      </c>
      <c r="CH109" s="9">
        <v>141</v>
      </c>
      <c r="CI109" s="9">
        <v>138</v>
      </c>
      <c r="CJ109" s="9">
        <v>118</v>
      </c>
      <c r="CK109" s="23">
        <f t="shared" si="36"/>
        <v>1900.9764705882353</v>
      </c>
      <c r="CL109">
        <f t="shared" si="37"/>
        <v>543</v>
      </c>
      <c r="CM109">
        <f t="shared" si="38"/>
        <v>549.97647058823532</v>
      </c>
      <c r="CN109" s="23">
        <f t="shared" si="39"/>
        <v>1048</v>
      </c>
      <c r="CO109">
        <f t="shared" si="42"/>
        <v>852.97647058823532</v>
      </c>
      <c r="CQ109" s="23">
        <f t="shared" si="40"/>
        <v>1117</v>
      </c>
      <c r="CR109" s="23">
        <f t="shared" si="41"/>
        <v>852.97647058823532</v>
      </c>
    </row>
    <row r="110" spans="1:96" ht="29.25">
      <c r="A110" t="str">
        <f t="shared" si="24"/>
        <v>415</v>
      </c>
      <c r="B110">
        <f t="shared" si="27"/>
        <v>415</v>
      </c>
      <c r="C110" s="14" t="s">
        <v>117</v>
      </c>
      <c r="D110" s="11"/>
      <c r="E110" s="9">
        <f>SUM(27.4652777777778*0.5)</f>
        <v>13.7326388888889</v>
      </c>
      <c r="F110" s="9">
        <v>26.0277777777778</v>
      </c>
      <c r="G110" s="9">
        <v>23.75</v>
      </c>
      <c r="H110" s="9">
        <v>23.1388888888889</v>
      </c>
      <c r="I110" s="9">
        <v>25.4166666666667</v>
      </c>
      <c r="J110" s="9">
        <v>24.4305555555556</v>
      </c>
      <c r="K110" s="9">
        <v>24.5451388888889</v>
      </c>
      <c r="L110" s="9">
        <v>26.0729166666667</v>
      </c>
      <c r="M110" s="9">
        <v>10.4375</v>
      </c>
      <c r="N110" s="9">
        <v>13.7256944444444</v>
      </c>
      <c r="O110" s="9">
        <v>25.8298611111111</v>
      </c>
      <c r="P110" s="9">
        <v>26.6701388888889</v>
      </c>
      <c r="Q110" s="9">
        <v>23.1527777777778</v>
      </c>
      <c r="R110" s="9">
        <v>0</v>
      </c>
      <c r="S110" s="9">
        <v>0</v>
      </c>
      <c r="T110" s="9">
        <v>0</v>
      </c>
      <c r="U110" s="9">
        <v>0</v>
      </c>
      <c r="V110" s="9">
        <v>0</v>
      </c>
      <c r="W110" s="9">
        <v>0</v>
      </c>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9">
        <v>0</v>
      </c>
      <c r="AO110" s="9">
        <v>0</v>
      </c>
      <c r="AP110" s="9">
        <v>0</v>
      </c>
      <c r="AQ110" s="9">
        <v>0</v>
      </c>
      <c r="AR110" s="9">
        <v>0</v>
      </c>
      <c r="AS110" s="9">
        <v>0</v>
      </c>
      <c r="AT110" s="9">
        <v>0</v>
      </c>
      <c r="AU110" s="9">
        <v>0</v>
      </c>
      <c r="AV110" s="9">
        <v>0</v>
      </c>
      <c r="AW110" s="9">
        <v>0</v>
      </c>
      <c r="AX110" s="9">
        <f t="shared" si="28"/>
        <v>301.27708333333345</v>
      </c>
      <c r="AY110" s="9">
        <f t="shared" si="29"/>
        <v>90.981770833333385</v>
      </c>
      <c r="AZ110" s="9">
        <f t="shared" si="30"/>
        <v>93.847395833333309</v>
      </c>
      <c r="BA110" s="9">
        <f t="shared" si="31"/>
        <v>169.09375000000014</v>
      </c>
      <c r="BB110" s="9">
        <f t="shared" si="32"/>
        <v>132.18333333333334</v>
      </c>
      <c r="BC110" s="19"/>
      <c r="BD110" s="9">
        <v>217</v>
      </c>
      <c r="BF110" s="252">
        <v>207</v>
      </c>
      <c r="BH110" s="252">
        <v>49</v>
      </c>
      <c r="BI110" s="252">
        <f t="shared" si="33"/>
        <v>49</v>
      </c>
      <c r="BJ110" s="252">
        <f t="shared" si="23"/>
        <v>286.93055555555566</v>
      </c>
      <c r="BK110" s="256">
        <f t="shared" si="43"/>
        <v>49</v>
      </c>
      <c r="BP110" s="252">
        <v>46</v>
      </c>
      <c r="BQ110" s="252">
        <f t="shared" si="34"/>
        <v>46</v>
      </c>
      <c r="BR110" s="256">
        <f t="shared" si="35"/>
        <v>286.93055555555566</v>
      </c>
      <c r="BS110" s="255">
        <f t="shared" si="44"/>
        <v>46</v>
      </c>
      <c r="BU110" s="252">
        <v>0</v>
      </c>
      <c r="BW110" s="9">
        <v>22</v>
      </c>
      <c r="BX110" s="9">
        <v>23</v>
      </c>
      <c r="BY110" s="9">
        <v>21</v>
      </c>
      <c r="BZ110" s="9">
        <v>20</v>
      </c>
      <c r="CA110" s="9">
        <v>26</v>
      </c>
      <c r="CB110" s="9">
        <v>21</v>
      </c>
      <c r="CC110" s="9">
        <v>23</v>
      </c>
      <c r="CD110" s="9">
        <v>30</v>
      </c>
      <c r="CE110" s="9">
        <v>27</v>
      </c>
      <c r="CF110" s="9">
        <v>26</v>
      </c>
      <c r="CG110" s="9">
        <v>14</v>
      </c>
      <c r="CH110" s="9">
        <v>15</v>
      </c>
      <c r="CI110" s="9">
        <v>27</v>
      </c>
      <c r="CJ110" s="9">
        <v>25</v>
      </c>
      <c r="CK110" s="23">
        <f t="shared" si="36"/>
        <v>286.5</v>
      </c>
      <c r="CL110">
        <f t="shared" si="37"/>
        <v>78.5</v>
      </c>
      <c r="CM110">
        <f t="shared" si="38"/>
        <v>81</v>
      </c>
      <c r="CN110" s="23">
        <f t="shared" si="39"/>
        <v>152.5</v>
      </c>
      <c r="CO110">
        <f t="shared" si="42"/>
        <v>134</v>
      </c>
      <c r="CQ110" s="23">
        <f t="shared" si="40"/>
        <v>164</v>
      </c>
      <c r="CR110" s="23">
        <f t="shared" si="41"/>
        <v>134</v>
      </c>
    </row>
    <row r="111" spans="1:96" ht="43.5">
      <c r="A111" t="str">
        <f t="shared" si="24"/>
        <v>416</v>
      </c>
      <c r="B111">
        <f t="shared" si="27"/>
        <v>416</v>
      </c>
      <c r="C111" s="14" t="s">
        <v>118</v>
      </c>
      <c r="D111" s="11"/>
      <c r="E111" s="9">
        <f>SUM(0.888888888888889*0.5)</f>
        <v>0.44444444444444448</v>
      </c>
      <c r="F111" s="9">
        <v>0.98596491228070204</v>
      </c>
      <c r="G111" s="9">
        <v>1.22456140350877</v>
      </c>
      <c r="H111" s="9">
        <v>0.99298245614035097</v>
      </c>
      <c r="I111" s="9">
        <v>0.99298245614035097</v>
      </c>
      <c r="J111" s="9">
        <v>0</v>
      </c>
      <c r="K111" s="9">
        <v>0.99298245614035097</v>
      </c>
      <c r="L111" s="9">
        <v>0.99298245614035097</v>
      </c>
      <c r="M111" s="9">
        <v>0.99298245614035097</v>
      </c>
      <c r="N111" s="9">
        <v>0</v>
      </c>
      <c r="O111" s="9">
        <v>0</v>
      </c>
      <c r="P111" s="9">
        <v>0</v>
      </c>
      <c r="Q111" s="9">
        <v>0</v>
      </c>
      <c r="R111" s="9">
        <v>0</v>
      </c>
      <c r="S111" s="9">
        <v>0</v>
      </c>
      <c r="T111" s="9">
        <v>0</v>
      </c>
      <c r="U111" s="9">
        <v>0</v>
      </c>
      <c r="V111" s="9">
        <v>0</v>
      </c>
      <c r="W111" s="9">
        <v>0</v>
      </c>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9">
        <v>0</v>
      </c>
      <c r="AO111" s="9">
        <v>0</v>
      </c>
      <c r="AP111" s="9">
        <v>0</v>
      </c>
      <c r="AQ111" s="9">
        <v>0</v>
      </c>
      <c r="AR111" s="9">
        <v>0</v>
      </c>
      <c r="AS111" s="9">
        <v>0</v>
      </c>
      <c r="AT111" s="9">
        <v>0</v>
      </c>
      <c r="AU111" s="9">
        <v>0</v>
      </c>
      <c r="AV111" s="9">
        <v>0</v>
      </c>
      <c r="AW111" s="9">
        <v>0</v>
      </c>
      <c r="AX111" s="9">
        <f t="shared" si="28"/>
        <v>8.000877192982454</v>
      </c>
      <c r="AY111" s="9">
        <f t="shared" si="29"/>
        <v>3.8303508771929806</v>
      </c>
      <c r="AZ111" s="9">
        <f t="shared" si="30"/>
        <v>0</v>
      </c>
      <c r="BA111" s="9">
        <f t="shared" si="31"/>
        <v>5.9156140350877173</v>
      </c>
      <c r="BB111" s="9">
        <f t="shared" si="32"/>
        <v>2.0852631578947372</v>
      </c>
      <c r="BC111" s="19"/>
      <c r="BD111" s="126">
        <v>2.66</v>
      </c>
      <c r="BF111" s="252">
        <v>6</v>
      </c>
      <c r="BH111" s="252" t="e">
        <v>#N/A</v>
      </c>
      <c r="BI111" s="252" t="str">
        <f t="shared" si="33"/>
        <v/>
      </c>
      <c r="BJ111" s="252" t="str">
        <f t="shared" si="23"/>
        <v/>
      </c>
      <c r="BK111" s="256">
        <f t="shared" si="43"/>
        <v>0.94534536405840508</v>
      </c>
      <c r="BP111" s="252">
        <v>0</v>
      </c>
      <c r="BQ111" s="252">
        <f t="shared" si="34"/>
        <v>0</v>
      </c>
      <c r="BR111" s="256">
        <f t="shared" si="35"/>
        <v>7.6198830409356706</v>
      </c>
      <c r="BS111" s="255">
        <f t="shared" si="44"/>
        <v>0</v>
      </c>
      <c r="BU111" s="252">
        <v>0</v>
      </c>
      <c r="BW111" s="9">
        <v>0</v>
      </c>
      <c r="BX111" s="9">
        <v>1</v>
      </c>
      <c r="BY111" s="9">
        <v>1</v>
      </c>
      <c r="BZ111" s="9">
        <v>0</v>
      </c>
      <c r="CA111" s="9">
        <v>1</v>
      </c>
      <c r="CB111" s="9">
        <v>0</v>
      </c>
      <c r="CC111" s="9">
        <v>1</v>
      </c>
      <c r="CD111" s="9">
        <v>0</v>
      </c>
      <c r="CE111" s="9">
        <v>1</v>
      </c>
      <c r="CF111" s="9">
        <v>1</v>
      </c>
      <c r="CG111" s="9">
        <v>0</v>
      </c>
      <c r="CH111" s="9">
        <v>0</v>
      </c>
      <c r="CI111" s="9">
        <v>0</v>
      </c>
      <c r="CJ111" s="9">
        <v>0</v>
      </c>
      <c r="CK111" s="23">
        <f t="shared" si="36"/>
        <v>5.5</v>
      </c>
      <c r="CL111">
        <f t="shared" si="37"/>
        <v>2.5</v>
      </c>
      <c r="CM111">
        <f t="shared" si="38"/>
        <v>0</v>
      </c>
      <c r="CN111" s="23">
        <f t="shared" si="39"/>
        <v>3.5</v>
      </c>
      <c r="CO111" s="176">
        <f>SUM(CE111:CJ111)+((AK111+AL111+AM111+AN111+AO111+AP111+AR111+AS111+AT111+AU111+AV111+AW111)*0.25)</f>
        <v>2</v>
      </c>
      <c r="CQ111" s="23">
        <f t="shared" si="40"/>
        <v>4</v>
      </c>
      <c r="CR111" s="23">
        <f t="shared" si="41"/>
        <v>2</v>
      </c>
    </row>
    <row r="112" spans="1:96" ht="29.25">
      <c r="A112" t="str">
        <f t="shared" si="24"/>
        <v>417</v>
      </c>
      <c r="B112">
        <f t="shared" si="27"/>
        <v>417</v>
      </c>
      <c r="C112" s="14" t="s">
        <v>119</v>
      </c>
      <c r="D112" s="11"/>
      <c r="E112" s="9">
        <f>SUM(16.9223602484472*0.5)</f>
        <v>8.4611801242236009</v>
      </c>
      <c r="F112" s="9">
        <v>25.024844720496901</v>
      </c>
      <c r="G112" s="9">
        <v>28.1086956521739</v>
      </c>
      <c r="H112" s="9">
        <v>23.2298136645963</v>
      </c>
      <c r="I112" s="9">
        <v>17.248447204968901</v>
      </c>
      <c r="J112" s="9">
        <v>21.369565217391301</v>
      </c>
      <c r="K112" s="9">
        <v>25.863354037267101</v>
      </c>
      <c r="L112" s="9">
        <v>26.2981366459627</v>
      </c>
      <c r="M112" s="9">
        <v>24.5621118012422</v>
      </c>
      <c r="N112" s="9">
        <v>29.984567901234598</v>
      </c>
      <c r="O112" s="9">
        <v>18.4969135802469</v>
      </c>
      <c r="P112" s="9">
        <v>24.598765432098801</v>
      </c>
      <c r="Q112" s="9">
        <v>13.185185185185199</v>
      </c>
      <c r="R112" s="9">
        <v>0</v>
      </c>
      <c r="S112" s="9">
        <v>0</v>
      </c>
      <c r="T112" s="9">
        <v>0</v>
      </c>
      <c r="U112" s="9">
        <v>0</v>
      </c>
      <c r="V112" s="9">
        <v>0</v>
      </c>
      <c r="W112" s="9">
        <v>0</v>
      </c>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9">
        <v>0</v>
      </c>
      <c r="AO112" s="9">
        <v>0</v>
      </c>
      <c r="AP112" s="9">
        <v>0</v>
      </c>
      <c r="AQ112" s="9">
        <v>0</v>
      </c>
      <c r="AR112" s="9">
        <v>0</v>
      </c>
      <c r="AS112" s="9">
        <v>0</v>
      </c>
      <c r="AT112" s="9">
        <v>0</v>
      </c>
      <c r="AU112" s="9">
        <v>0</v>
      </c>
      <c r="AV112" s="9">
        <v>0</v>
      </c>
      <c r="AW112" s="9">
        <v>0</v>
      </c>
      <c r="AX112" s="9">
        <f t="shared" si="28"/>
        <v>300.75316022544285</v>
      </c>
      <c r="AY112" s="9">
        <f t="shared" si="29"/>
        <v>89.065760869565239</v>
      </c>
      <c r="AZ112" s="9">
        <f t="shared" si="30"/>
        <v>90.578703703703781</v>
      </c>
      <c r="BA112" s="9">
        <f t="shared" si="31"/>
        <v>156.7711956521739</v>
      </c>
      <c r="BB112" s="9">
        <f t="shared" si="32"/>
        <v>143.98196457326893</v>
      </c>
      <c r="BC112" s="19"/>
      <c r="BD112" s="9">
        <v>184</v>
      </c>
      <c r="BF112" s="252">
        <v>226</v>
      </c>
      <c r="BH112" s="252">
        <v>19</v>
      </c>
      <c r="BI112" s="252">
        <f t="shared" si="33"/>
        <v>19</v>
      </c>
      <c r="BJ112" s="252">
        <f t="shared" si="23"/>
        <v>286.43158116708844</v>
      </c>
      <c r="BK112" s="256">
        <f t="shared" si="43"/>
        <v>19</v>
      </c>
      <c r="BP112" s="252">
        <v>48</v>
      </c>
      <c r="BQ112" s="252">
        <f t="shared" si="34"/>
        <v>48</v>
      </c>
      <c r="BR112" s="256">
        <f t="shared" si="35"/>
        <v>286.43158116708844</v>
      </c>
      <c r="BS112" s="255">
        <f t="shared" si="44"/>
        <v>48</v>
      </c>
      <c r="BU112" s="252">
        <v>0</v>
      </c>
      <c r="BW112" s="9">
        <v>0</v>
      </c>
      <c r="BX112" s="9">
        <v>34</v>
      </c>
      <c r="BY112" s="9">
        <v>20</v>
      </c>
      <c r="BZ112" s="9">
        <v>27</v>
      </c>
      <c r="CA112" s="9">
        <v>36</v>
      </c>
      <c r="CB112" s="9">
        <v>29</v>
      </c>
      <c r="CC112" s="9">
        <v>22</v>
      </c>
      <c r="CD112" s="9">
        <v>25</v>
      </c>
      <c r="CE112" s="9">
        <v>30</v>
      </c>
      <c r="CF112" s="9">
        <v>32</v>
      </c>
      <c r="CG112" s="9">
        <v>28</v>
      </c>
      <c r="CH112" s="9">
        <v>30</v>
      </c>
      <c r="CI112" s="9">
        <v>20</v>
      </c>
      <c r="CJ112" s="9">
        <v>22</v>
      </c>
      <c r="CK112" s="23">
        <f t="shared" si="36"/>
        <v>338</v>
      </c>
      <c r="CL112">
        <f t="shared" si="37"/>
        <v>100</v>
      </c>
      <c r="CM112">
        <f t="shared" si="38"/>
        <v>100</v>
      </c>
      <c r="CN112" s="23">
        <f t="shared" si="39"/>
        <v>176</v>
      </c>
      <c r="CO112">
        <f t="shared" si="42"/>
        <v>162</v>
      </c>
      <c r="CQ112" s="23">
        <f t="shared" si="40"/>
        <v>193</v>
      </c>
      <c r="CR112" s="23">
        <f t="shared" si="41"/>
        <v>162</v>
      </c>
    </row>
    <row r="113" spans="1:96" ht="29.25">
      <c r="A113" t="str">
        <f t="shared" si="24"/>
        <v>418</v>
      </c>
      <c r="B113">
        <f t="shared" si="27"/>
        <v>418</v>
      </c>
      <c r="C113" s="14" t="s">
        <v>120</v>
      </c>
      <c r="D113" s="11"/>
      <c r="E113" s="9">
        <f>SUM(31.2528735632184*0.5)</f>
        <v>15.6264367816092</v>
      </c>
      <c r="F113" s="9">
        <v>35.815028901734102</v>
      </c>
      <c r="G113" s="9">
        <v>25.699421965317899</v>
      </c>
      <c r="H113" s="9">
        <v>25.976878612716799</v>
      </c>
      <c r="I113" s="9">
        <v>34.190751445086697</v>
      </c>
      <c r="J113" s="9">
        <v>31.907514450867101</v>
      </c>
      <c r="K113" s="9">
        <v>20.684971098265901</v>
      </c>
      <c r="L113" s="9">
        <v>27.953757225433499</v>
      </c>
      <c r="M113" s="9">
        <v>30.265895953757202</v>
      </c>
      <c r="N113" s="9">
        <v>18.231213872832399</v>
      </c>
      <c r="O113" s="9">
        <v>23.705202312138699</v>
      </c>
      <c r="P113" s="9">
        <v>18.1127167630058</v>
      </c>
      <c r="Q113" s="9">
        <v>12.149390243902401</v>
      </c>
      <c r="R113" s="9">
        <v>0</v>
      </c>
      <c r="S113" s="9">
        <v>0</v>
      </c>
      <c r="T113" s="9">
        <v>0</v>
      </c>
      <c r="U113" s="9">
        <v>0</v>
      </c>
      <c r="V113" s="9">
        <v>0</v>
      </c>
      <c r="W113" s="9">
        <v>0</v>
      </c>
      <c r="X113" s="9">
        <v>0</v>
      </c>
      <c r="Y113" s="9">
        <v>0</v>
      </c>
      <c r="Z113" s="9">
        <v>0</v>
      </c>
      <c r="AA113" s="9">
        <v>0</v>
      </c>
      <c r="AB113" s="9">
        <v>0</v>
      </c>
      <c r="AC113" s="9">
        <v>0</v>
      </c>
      <c r="AD113" s="9">
        <v>0</v>
      </c>
      <c r="AE113" s="9">
        <v>0</v>
      </c>
      <c r="AF113" s="9">
        <v>0</v>
      </c>
      <c r="AG113" s="9">
        <v>0</v>
      </c>
      <c r="AH113" s="9">
        <v>0</v>
      </c>
      <c r="AI113" s="9">
        <v>0</v>
      </c>
      <c r="AJ113" s="9">
        <v>0</v>
      </c>
      <c r="AK113" s="9">
        <v>0</v>
      </c>
      <c r="AL113" s="9">
        <v>0</v>
      </c>
      <c r="AM113" s="9">
        <v>0</v>
      </c>
      <c r="AN113" s="9">
        <v>0</v>
      </c>
      <c r="AO113" s="9">
        <v>0</v>
      </c>
      <c r="AP113" s="9">
        <v>0</v>
      </c>
      <c r="AQ113" s="9">
        <v>0</v>
      </c>
      <c r="AR113" s="9">
        <v>0</v>
      </c>
      <c r="AS113" s="9">
        <v>0</v>
      </c>
      <c r="AT113" s="9">
        <v>0</v>
      </c>
      <c r="AU113" s="9">
        <v>0</v>
      </c>
      <c r="AV113" s="9">
        <v>0</v>
      </c>
      <c r="AW113" s="9">
        <v>0</v>
      </c>
      <c r="AX113" s="9">
        <f t="shared" si="28"/>
        <v>336.33513860800099</v>
      </c>
      <c r="AY113" s="9">
        <f t="shared" si="29"/>
        <v>108.27365457444691</v>
      </c>
      <c r="AZ113" s="9">
        <f t="shared" si="30"/>
        <v>75.808449351473257</v>
      </c>
      <c r="BA113" s="9">
        <f t="shared" si="31"/>
        <v>199.39605341837759</v>
      </c>
      <c r="BB113" s="9">
        <f t="shared" si="32"/>
        <v>136.93908518962348</v>
      </c>
      <c r="BC113" s="19"/>
      <c r="BD113" s="9">
        <v>240</v>
      </c>
      <c r="BF113" s="252">
        <v>237</v>
      </c>
      <c r="BH113" s="252">
        <v>31</v>
      </c>
      <c r="BI113" s="252">
        <f t="shared" si="33"/>
        <v>31</v>
      </c>
      <c r="BJ113" s="252">
        <f t="shared" ref="BJ113:BJ176" si="45">IFERROR(IF(BH113&gt;0,SUM(E113:Q113),""),"")</f>
        <v>320.31917962666762</v>
      </c>
      <c r="BK113" s="256">
        <f t="shared" si="43"/>
        <v>31</v>
      </c>
      <c r="BP113" s="252">
        <v>50</v>
      </c>
      <c r="BQ113" s="252">
        <f t="shared" si="34"/>
        <v>50</v>
      </c>
      <c r="BR113" s="256">
        <f t="shared" si="35"/>
        <v>320.31917962666762</v>
      </c>
      <c r="BS113" s="255">
        <f t="shared" si="44"/>
        <v>50</v>
      </c>
      <c r="BU113" s="252">
        <v>31</v>
      </c>
      <c r="BW113" s="9">
        <v>1</v>
      </c>
      <c r="BX113" s="9">
        <v>36</v>
      </c>
      <c r="BY113" s="9">
        <v>34</v>
      </c>
      <c r="BZ113" s="9">
        <v>33</v>
      </c>
      <c r="CA113" s="9">
        <v>28</v>
      </c>
      <c r="CB113" s="9">
        <v>31</v>
      </c>
      <c r="CC113" s="9">
        <v>33</v>
      </c>
      <c r="CD113" s="9">
        <v>36</v>
      </c>
      <c r="CE113" s="9">
        <v>23</v>
      </c>
      <c r="CF113" s="9">
        <v>23</v>
      </c>
      <c r="CG113" s="9">
        <v>31</v>
      </c>
      <c r="CH113" s="9">
        <v>18</v>
      </c>
      <c r="CI113" s="9">
        <v>20</v>
      </c>
      <c r="CJ113" s="9">
        <v>15</v>
      </c>
      <c r="CK113" s="23">
        <f t="shared" si="36"/>
        <v>343</v>
      </c>
      <c r="CL113">
        <f t="shared" si="37"/>
        <v>113</v>
      </c>
      <c r="CM113">
        <f t="shared" si="38"/>
        <v>84</v>
      </c>
      <c r="CN113" s="23">
        <f t="shared" si="39"/>
        <v>213</v>
      </c>
      <c r="CO113">
        <f t="shared" si="42"/>
        <v>130</v>
      </c>
      <c r="CQ113" s="23">
        <f t="shared" si="40"/>
        <v>231</v>
      </c>
      <c r="CR113" s="23">
        <f t="shared" si="41"/>
        <v>130</v>
      </c>
    </row>
    <row r="114" spans="1:96" ht="29.25">
      <c r="A114" t="str">
        <f t="shared" si="24"/>
        <v>421</v>
      </c>
      <c r="B114">
        <f t="shared" si="27"/>
        <v>421</v>
      </c>
      <c r="C114" s="14" t="s">
        <v>121</v>
      </c>
      <c r="D114" s="11"/>
      <c r="E114" s="9">
        <f>SUM(85.2011494252874*0.5)</f>
        <v>42.600574712643699</v>
      </c>
      <c r="F114" s="9">
        <v>84.778735632183896</v>
      </c>
      <c r="G114" s="9">
        <v>76.75</v>
      </c>
      <c r="H114" s="9">
        <v>88.436781609195407</v>
      </c>
      <c r="I114" s="9">
        <v>99.298850574712603</v>
      </c>
      <c r="J114" s="9">
        <v>106.81321839080501</v>
      </c>
      <c r="K114" s="9">
        <v>77.738505747126396</v>
      </c>
      <c r="L114" s="9">
        <v>98.272988505747094</v>
      </c>
      <c r="M114" s="9">
        <v>81.534482758620697</v>
      </c>
      <c r="N114" s="9">
        <v>104.465517241379</v>
      </c>
      <c r="O114" s="9">
        <v>76.887931034482804</v>
      </c>
      <c r="P114" s="9">
        <v>65.393678160919507</v>
      </c>
      <c r="Q114" s="9">
        <v>52.390804597701099</v>
      </c>
      <c r="R114" s="9">
        <v>0</v>
      </c>
      <c r="S114" s="9">
        <v>0</v>
      </c>
      <c r="T114" s="9">
        <v>0</v>
      </c>
      <c r="U114" s="9">
        <v>2.0604571428571399</v>
      </c>
      <c r="V114" s="9">
        <v>3.2253714285714299</v>
      </c>
      <c r="W114" s="9">
        <v>6.1553142857142902</v>
      </c>
      <c r="X114" s="9">
        <v>7.3881142857142903</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9">
        <v>0</v>
      </c>
      <c r="AO114" s="9">
        <v>0</v>
      </c>
      <c r="AP114" s="9">
        <v>0</v>
      </c>
      <c r="AQ114" s="9">
        <v>0</v>
      </c>
      <c r="AR114" s="9">
        <v>0</v>
      </c>
      <c r="AS114" s="9">
        <v>0</v>
      </c>
      <c r="AT114" s="9">
        <v>0</v>
      </c>
      <c r="AU114" s="9">
        <v>0</v>
      </c>
      <c r="AV114" s="9">
        <v>0</v>
      </c>
      <c r="AW114" s="9">
        <v>0</v>
      </c>
      <c r="AX114" s="9">
        <f t="shared" si="28"/>
        <v>1127.9008924137929</v>
      </c>
      <c r="AY114" s="9">
        <f t="shared" si="29"/>
        <v>307.1943965517242</v>
      </c>
      <c r="AZ114" s="9">
        <f t="shared" si="30"/>
        <v>333.86554758620656</v>
      </c>
      <c r="BA114" s="9">
        <f t="shared" si="31"/>
        <v>605.2375000000003</v>
      </c>
      <c r="BB114" s="9">
        <f t="shared" si="32"/>
        <v>522.66339241379274</v>
      </c>
      <c r="BC114" s="19"/>
      <c r="BD114" s="9">
        <v>363</v>
      </c>
      <c r="BF114" s="252">
        <v>323</v>
      </c>
      <c r="BH114" s="252">
        <v>129</v>
      </c>
      <c r="BI114" s="252">
        <f t="shared" si="33"/>
        <v>129</v>
      </c>
      <c r="BJ114" s="252">
        <f t="shared" si="45"/>
        <v>1055.3620689655172</v>
      </c>
      <c r="BK114" s="256">
        <f t="shared" si="43"/>
        <v>129</v>
      </c>
      <c r="BP114" s="252">
        <v>43</v>
      </c>
      <c r="BQ114" s="252">
        <f t="shared" si="34"/>
        <v>43</v>
      </c>
      <c r="BR114" s="256">
        <f t="shared" si="35"/>
        <v>1055.3620689655172</v>
      </c>
      <c r="BS114" s="255">
        <f t="shared" si="44"/>
        <v>43</v>
      </c>
      <c r="BU114" s="252">
        <v>47</v>
      </c>
      <c r="BW114" s="9">
        <v>14</v>
      </c>
      <c r="BX114" s="9">
        <v>90</v>
      </c>
      <c r="BY114" s="9">
        <v>92</v>
      </c>
      <c r="BZ114" s="9">
        <v>95</v>
      </c>
      <c r="CA114" s="9">
        <v>89</v>
      </c>
      <c r="CB114" s="9">
        <v>101</v>
      </c>
      <c r="CC114" s="9">
        <v>107</v>
      </c>
      <c r="CD114" s="9">
        <v>124</v>
      </c>
      <c r="CE114" s="9">
        <v>87</v>
      </c>
      <c r="CF114" s="9">
        <v>106</v>
      </c>
      <c r="CG114" s="9">
        <v>97</v>
      </c>
      <c r="CH114" s="9">
        <v>118</v>
      </c>
      <c r="CI114" s="9">
        <v>91</v>
      </c>
      <c r="CJ114" s="9">
        <v>77</v>
      </c>
      <c r="CK114" s="23">
        <f t="shared" si="36"/>
        <v>1229</v>
      </c>
      <c r="CL114">
        <f t="shared" si="37"/>
        <v>321</v>
      </c>
      <c r="CM114">
        <f t="shared" si="38"/>
        <v>383</v>
      </c>
      <c r="CN114" s="23">
        <f t="shared" si="39"/>
        <v>653</v>
      </c>
      <c r="CO114">
        <f t="shared" si="42"/>
        <v>576</v>
      </c>
      <c r="CQ114" s="23">
        <f t="shared" si="40"/>
        <v>698</v>
      </c>
      <c r="CR114" s="23">
        <f t="shared" si="41"/>
        <v>576</v>
      </c>
    </row>
    <row r="115" spans="1:96" ht="29.25">
      <c r="A115" t="str">
        <f t="shared" si="24"/>
        <v>422</v>
      </c>
      <c r="B115">
        <f t="shared" si="27"/>
        <v>422</v>
      </c>
      <c r="C115" s="14" t="s">
        <v>122</v>
      </c>
      <c r="D115" s="11"/>
      <c r="E115" s="9">
        <f>SUM(12.4846625766871*0.5)</f>
        <v>6.24233128834355</v>
      </c>
      <c r="F115" s="9">
        <v>14.8571428571429</v>
      </c>
      <c r="G115" s="9">
        <v>12.2202380952381</v>
      </c>
      <c r="H115" s="9">
        <v>15.4672619047619</v>
      </c>
      <c r="I115" s="9">
        <v>14.1696428571429</v>
      </c>
      <c r="J115" s="9">
        <v>18.473214285714299</v>
      </c>
      <c r="K115" s="9">
        <v>20.4791666666667</v>
      </c>
      <c r="L115" s="9">
        <v>11.239644970414201</v>
      </c>
      <c r="M115" s="9">
        <v>18.7514792899408</v>
      </c>
      <c r="N115" s="9">
        <v>19.739644970414201</v>
      </c>
      <c r="O115" s="9">
        <v>16.2544378698225</v>
      </c>
      <c r="P115" s="9">
        <v>17.207100591715999</v>
      </c>
      <c r="Q115" s="9">
        <v>13.535502958579899</v>
      </c>
      <c r="R115" s="9">
        <v>0</v>
      </c>
      <c r="S115" s="9">
        <v>0</v>
      </c>
      <c r="T115" s="9">
        <v>0</v>
      </c>
      <c r="U115" s="9">
        <v>0</v>
      </c>
      <c r="V115" s="9">
        <v>0</v>
      </c>
      <c r="W115" s="9">
        <v>0</v>
      </c>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9">
        <v>0</v>
      </c>
      <c r="AO115" s="9">
        <v>0</v>
      </c>
      <c r="AP115" s="9">
        <v>0</v>
      </c>
      <c r="AQ115" s="9">
        <v>0</v>
      </c>
      <c r="AR115" s="9">
        <v>0</v>
      </c>
      <c r="AS115" s="9">
        <v>0</v>
      </c>
      <c r="AT115" s="9">
        <v>0</v>
      </c>
      <c r="AU115" s="9">
        <v>0</v>
      </c>
      <c r="AV115" s="9">
        <v>0</v>
      </c>
      <c r="AW115" s="9">
        <v>0</v>
      </c>
      <c r="AX115" s="9">
        <f t="shared" si="28"/>
        <v>208.56864903619285</v>
      </c>
      <c r="AY115" s="9">
        <f t="shared" si="29"/>
        <v>51.226322852760774</v>
      </c>
      <c r="AZ115" s="9">
        <f t="shared" si="30"/>
        <v>70.073520710059228</v>
      </c>
      <c r="BA115" s="9">
        <f t="shared" si="31"/>
        <v>107.00444785276088</v>
      </c>
      <c r="BB115" s="9">
        <f t="shared" si="32"/>
        <v>101.56420118343198</v>
      </c>
      <c r="BC115" s="19"/>
      <c r="BD115" s="9">
        <v>88</v>
      </c>
      <c r="BF115" s="252">
        <v>90</v>
      </c>
      <c r="BH115" s="252">
        <v>40</v>
      </c>
      <c r="BI115" s="252">
        <f t="shared" si="33"/>
        <v>40</v>
      </c>
      <c r="BJ115" s="252">
        <f t="shared" si="45"/>
        <v>198.63680860589795</v>
      </c>
      <c r="BK115" s="256">
        <f t="shared" si="43"/>
        <v>40</v>
      </c>
      <c r="BP115" s="252">
        <v>0</v>
      </c>
      <c r="BQ115" s="252">
        <f t="shared" si="34"/>
        <v>0</v>
      </c>
      <c r="BR115" s="256">
        <f t="shared" si="35"/>
        <v>198.63680860589795</v>
      </c>
      <c r="BS115" s="255">
        <f t="shared" si="44"/>
        <v>0</v>
      </c>
      <c r="BU115" s="252">
        <v>0</v>
      </c>
      <c r="BW115" s="9">
        <v>8</v>
      </c>
      <c r="BX115" s="9">
        <v>18</v>
      </c>
      <c r="BY115" s="9">
        <v>11</v>
      </c>
      <c r="BZ115" s="9">
        <v>18</v>
      </c>
      <c r="CA115" s="9">
        <v>12</v>
      </c>
      <c r="CB115" s="9">
        <v>15</v>
      </c>
      <c r="CC115" s="9">
        <v>13</v>
      </c>
      <c r="CD115" s="9">
        <v>18</v>
      </c>
      <c r="CE115" s="9">
        <v>19</v>
      </c>
      <c r="CF115" s="9">
        <v>13</v>
      </c>
      <c r="CG115" s="9">
        <v>19</v>
      </c>
      <c r="CH115" s="9">
        <v>22</v>
      </c>
      <c r="CI115" s="9">
        <v>19</v>
      </c>
      <c r="CJ115" s="9">
        <v>21</v>
      </c>
      <c r="CK115" s="23">
        <f t="shared" si="36"/>
        <v>209</v>
      </c>
      <c r="CL115">
        <f t="shared" si="37"/>
        <v>50</v>
      </c>
      <c r="CM115">
        <f t="shared" si="38"/>
        <v>81</v>
      </c>
      <c r="CN115" s="23">
        <f t="shared" si="39"/>
        <v>96</v>
      </c>
      <c r="CO115">
        <f t="shared" si="42"/>
        <v>113</v>
      </c>
      <c r="CQ115" s="23">
        <f t="shared" si="40"/>
        <v>105</v>
      </c>
      <c r="CR115" s="23">
        <f t="shared" si="41"/>
        <v>113</v>
      </c>
    </row>
    <row r="116" spans="1:96" ht="29.25">
      <c r="A116" t="str">
        <f t="shared" si="24"/>
        <v>431</v>
      </c>
      <c r="B116">
        <f t="shared" si="27"/>
        <v>431</v>
      </c>
      <c r="C116" s="14" t="s">
        <v>123</v>
      </c>
      <c r="D116" s="11"/>
      <c r="E116" s="9">
        <f>SUM(93.3207824192479*0.5)</f>
        <v>46.660391209623953</v>
      </c>
      <c r="F116" s="9">
        <v>114.4375</v>
      </c>
      <c r="G116" s="9">
        <v>90.559523809523796</v>
      </c>
      <c r="H116" s="9">
        <v>87.3333333333333</v>
      </c>
      <c r="I116" s="9">
        <v>108.532738095238</v>
      </c>
      <c r="J116" s="9">
        <v>116.96130952381</v>
      </c>
      <c r="K116" s="9">
        <v>122.154761904762</v>
      </c>
      <c r="L116" s="9">
        <v>125.38988095238101</v>
      </c>
      <c r="M116" s="9">
        <v>115.08630952381</v>
      </c>
      <c r="N116" s="9">
        <v>132.01447820085599</v>
      </c>
      <c r="O116" s="9">
        <v>123.738095238095</v>
      </c>
      <c r="P116" s="9">
        <v>98.917464317750202</v>
      </c>
      <c r="Q116" s="9">
        <v>94.038690476190496</v>
      </c>
      <c r="R116" s="9">
        <v>0</v>
      </c>
      <c r="S116" s="9">
        <v>0</v>
      </c>
      <c r="T116" s="9">
        <v>0</v>
      </c>
      <c r="U116" s="9">
        <v>0</v>
      </c>
      <c r="V116" s="9">
        <v>1.35715328467153</v>
      </c>
      <c r="W116" s="9">
        <v>2.6575806896551701</v>
      </c>
      <c r="X116" s="9">
        <v>7.8666104433497503</v>
      </c>
      <c r="Y116" s="9">
        <v>0</v>
      </c>
      <c r="Z116" s="9">
        <v>0</v>
      </c>
      <c r="AA116" s="9">
        <v>0</v>
      </c>
      <c r="AB116" s="9">
        <v>0</v>
      </c>
      <c r="AC116" s="9">
        <v>0</v>
      </c>
      <c r="AD116" s="9">
        <v>0</v>
      </c>
      <c r="AE116" s="9">
        <v>0</v>
      </c>
      <c r="AF116" s="9">
        <v>0</v>
      </c>
      <c r="AG116" s="9">
        <v>0</v>
      </c>
      <c r="AH116" s="9">
        <v>0</v>
      </c>
      <c r="AI116" s="9">
        <v>0</v>
      </c>
      <c r="AJ116" s="9">
        <v>0</v>
      </c>
      <c r="AK116" s="9">
        <v>0</v>
      </c>
      <c r="AL116" s="9">
        <v>0</v>
      </c>
      <c r="AM116" s="9">
        <v>0</v>
      </c>
      <c r="AN116" s="9">
        <v>0</v>
      </c>
      <c r="AO116" s="9">
        <v>0</v>
      </c>
      <c r="AP116" s="9">
        <v>0</v>
      </c>
      <c r="AQ116" s="9">
        <v>2.5842352941176499</v>
      </c>
      <c r="AR116" s="9">
        <v>9.6005490196078398</v>
      </c>
      <c r="AS116" s="9">
        <v>11.475725490196099</v>
      </c>
      <c r="AT116" s="9">
        <v>9.4117647058823497</v>
      </c>
      <c r="AU116" s="9">
        <v>7.4607843137254903</v>
      </c>
      <c r="AV116" s="9">
        <v>6.3921568627451002</v>
      </c>
      <c r="AW116" s="9">
        <v>1.1176470588235301</v>
      </c>
      <c r="AX116" s="9">
        <f t="shared" si="28"/>
        <v>1507.5361179355557</v>
      </c>
      <c r="AY116" s="9">
        <f t="shared" si="29"/>
        <v>355.94028577010511</v>
      </c>
      <c r="AZ116" s="9">
        <f t="shared" si="30"/>
        <v>509.22104687133185</v>
      </c>
      <c r="BA116" s="9">
        <f t="shared" si="31"/>
        <v>723.68498282892915</v>
      </c>
      <c r="BB116" s="9">
        <f t="shared" si="32"/>
        <v>783.85113510662654</v>
      </c>
      <c r="BC116" s="19"/>
      <c r="BD116" s="9">
        <v>833</v>
      </c>
      <c r="BF116" s="252">
        <v>694</v>
      </c>
      <c r="BH116" s="252">
        <v>155</v>
      </c>
      <c r="BI116" s="252">
        <f t="shared" si="33"/>
        <v>155</v>
      </c>
      <c r="BJ116" s="252">
        <f t="shared" si="45"/>
        <v>1375.8244765853738</v>
      </c>
      <c r="BK116" s="256">
        <f t="shared" si="43"/>
        <v>155</v>
      </c>
      <c r="BP116" s="252">
        <v>217</v>
      </c>
      <c r="BQ116" s="252">
        <f t="shared" si="34"/>
        <v>217</v>
      </c>
      <c r="BR116" s="256">
        <f t="shared" si="35"/>
        <v>1375.8244765853738</v>
      </c>
      <c r="BS116" s="255">
        <f t="shared" si="44"/>
        <v>217</v>
      </c>
      <c r="BU116" s="252">
        <v>0</v>
      </c>
      <c r="BW116" s="9">
        <v>22</v>
      </c>
      <c r="BX116" s="9">
        <v>92</v>
      </c>
      <c r="BY116" s="9">
        <v>121</v>
      </c>
      <c r="BZ116" s="9">
        <v>109</v>
      </c>
      <c r="CA116" s="9">
        <v>103</v>
      </c>
      <c r="CB116" s="9">
        <v>95</v>
      </c>
      <c r="CC116" s="9">
        <v>113</v>
      </c>
      <c r="CD116" s="9">
        <v>133</v>
      </c>
      <c r="CE116" s="9">
        <v>136</v>
      </c>
      <c r="CF116" s="9">
        <v>132</v>
      </c>
      <c r="CG116" s="9">
        <v>138</v>
      </c>
      <c r="CH116" s="9">
        <v>142</v>
      </c>
      <c r="CI116" s="9">
        <v>134</v>
      </c>
      <c r="CJ116" s="9">
        <v>109</v>
      </c>
      <c r="CK116" s="23">
        <f t="shared" si="36"/>
        <v>1523.0107156862746</v>
      </c>
      <c r="CL116">
        <f t="shared" si="37"/>
        <v>379</v>
      </c>
      <c r="CM116">
        <f t="shared" si="38"/>
        <v>529.09558823529414</v>
      </c>
      <c r="CN116" s="23">
        <f t="shared" si="39"/>
        <v>720.64605882352942</v>
      </c>
      <c r="CO116">
        <f t="shared" si="42"/>
        <v>802.36465686274505</v>
      </c>
      <c r="CQ116" s="23">
        <f t="shared" si="40"/>
        <v>766.64605882352942</v>
      </c>
      <c r="CR116" s="23">
        <f t="shared" si="41"/>
        <v>802.36465686274505</v>
      </c>
    </row>
    <row r="117" spans="1:96" ht="29.25">
      <c r="A117" t="str">
        <f t="shared" si="24"/>
        <v>432</v>
      </c>
      <c r="B117">
        <f t="shared" si="27"/>
        <v>432</v>
      </c>
      <c r="C117" s="14" t="s">
        <v>124</v>
      </c>
      <c r="D117" s="11"/>
      <c r="E117" s="9">
        <f>SUM(7.4448275862069*0.5)</f>
        <v>3.72241379310345</v>
      </c>
      <c r="F117" s="9">
        <v>7.4310344827586201</v>
      </c>
      <c r="G117" s="9">
        <v>11.2896551724138</v>
      </c>
      <c r="H117" s="9">
        <v>10.744827586206901</v>
      </c>
      <c r="I117" s="9">
        <v>12.796551724137901</v>
      </c>
      <c r="J117" s="9">
        <v>11.2655172413793</v>
      </c>
      <c r="K117" s="9">
        <v>6.92068965517241</v>
      </c>
      <c r="L117" s="9">
        <v>8.7965517241379292</v>
      </c>
      <c r="M117" s="9">
        <v>0</v>
      </c>
      <c r="N117" s="9">
        <v>13.2896551724138</v>
      </c>
      <c r="O117" s="9">
        <v>10.199999999999999</v>
      </c>
      <c r="P117" s="9">
        <v>9.8827586206896605</v>
      </c>
      <c r="Q117" s="9">
        <v>9.8482758620689594</v>
      </c>
      <c r="R117" s="9">
        <v>0</v>
      </c>
      <c r="S117" s="9">
        <v>0</v>
      </c>
      <c r="T117" s="9">
        <v>0</v>
      </c>
      <c r="U117" s="9">
        <v>0</v>
      </c>
      <c r="V117" s="9">
        <v>0</v>
      </c>
      <c r="W117" s="9">
        <v>0</v>
      </c>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9">
        <v>0</v>
      </c>
      <c r="AO117" s="9">
        <v>0</v>
      </c>
      <c r="AP117" s="9">
        <v>0</v>
      </c>
      <c r="AQ117" s="9">
        <v>0</v>
      </c>
      <c r="AR117" s="9">
        <v>0</v>
      </c>
      <c r="AS117" s="9">
        <v>0</v>
      </c>
      <c r="AT117" s="9">
        <v>0</v>
      </c>
      <c r="AU117" s="9">
        <v>0</v>
      </c>
      <c r="AV117" s="9">
        <v>0</v>
      </c>
      <c r="AW117" s="9">
        <v>0</v>
      </c>
      <c r="AX117" s="9">
        <f t="shared" si="28"/>
        <v>121.99732758620688</v>
      </c>
      <c r="AY117" s="9">
        <f t="shared" si="29"/>
        <v>34.847327586206916</v>
      </c>
      <c r="AZ117" s="9">
        <f t="shared" si="30"/>
        <v>45.381724137931045</v>
      </c>
      <c r="BA117" s="9">
        <f t="shared" si="31"/>
        <v>67.379224137931004</v>
      </c>
      <c r="BB117" s="9">
        <f t="shared" si="32"/>
        <v>54.618103448275868</v>
      </c>
      <c r="BC117" s="19"/>
      <c r="BD117" s="9">
        <v>65</v>
      </c>
      <c r="BF117" s="257">
        <v>49.88</v>
      </c>
      <c r="BH117" s="252">
        <v>24</v>
      </c>
      <c r="BI117" s="252">
        <f t="shared" si="33"/>
        <v>24</v>
      </c>
      <c r="BJ117" s="252">
        <f t="shared" si="45"/>
        <v>116.18793103448273</v>
      </c>
      <c r="BK117" s="256">
        <f t="shared" si="43"/>
        <v>24</v>
      </c>
      <c r="BP117" s="252">
        <v>0</v>
      </c>
      <c r="BQ117" s="252">
        <f t="shared" si="34"/>
        <v>0</v>
      </c>
      <c r="BR117" s="256">
        <f t="shared" si="35"/>
        <v>116.18793103448273</v>
      </c>
      <c r="BS117" s="255">
        <f t="shared" si="44"/>
        <v>0</v>
      </c>
      <c r="BU117" s="252">
        <v>0</v>
      </c>
      <c r="BW117" s="9">
        <v>14</v>
      </c>
      <c r="BX117" s="9">
        <v>4</v>
      </c>
      <c r="BY117" s="9">
        <v>9</v>
      </c>
      <c r="BZ117" s="9">
        <v>7</v>
      </c>
      <c r="CA117" s="9">
        <v>11</v>
      </c>
      <c r="CB117" s="9">
        <v>11</v>
      </c>
      <c r="CC117" s="9">
        <v>12</v>
      </c>
      <c r="CD117" s="9">
        <v>11</v>
      </c>
      <c r="CE117" s="9">
        <v>9</v>
      </c>
      <c r="CF117" s="9">
        <v>9</v>
      </c>
      <c r="CG117" s="9">
        <v>1</v>
      </c>
      <c r="CH117" s="9">
        <v>12</v>
      </c>
      <c r="CI117" s="9">
        <v>9</v>
      </c>
      <c r="CJ117" s="9">
        <v>11</v>
      </c>
      <c r="CK117" s="23">
        <f t="shared" si="36"/>
        <v>114</v>
      </c>
      <c r="CL117">
        <f t="shared" si="37"/>
        <v>29</v>
      </c>
      <c r="CM117">
        <f t="shared" si="38"/>
        <v>33</v>
      </c>
      <c r="CN117" s="23">
        <f t="shared" si="39"/>
        <v>63</v>
      </c>
      <c r="CO117">
        <f t="shared" si="42"/>
        <v>100</v>
      </c>
      <c r="CQ117" s="23">
        <f t="shared" si="40"/>
        <v>65</v>
      </c>
      <c r="CR117" s="23">
        <f t="shared" si="41"/>
        <v>51</v>
      </c>
    </row>
    <row r="118" spans="1:96" ht="29.25">
      <c r="A118" t="str">
        <f t="shared" si="24"/>
        <v>433</v>
      </c>
      <c r="B118">
        <f t="shared" si="27"/>
        <v>433</v>
      </c>
      <c r="C118" s="14" t="s">
        <v>125</v>
      </c>
      <c r="D118" s="11"/>
      <c r="E118" s="9">
        <f>SUM(7.91803825578077*0.5)</f>
        <v>3.959019127890385</v>
      </c>
      <c r="F118" s="9">
        <v>4.5035460992907801</v>
      </c>
      <c r="G118" s="9">
        <v>4.0531914893616996</v>
      </c>
      <c r="H118" s="9">
        <v>8.9219858156028398</v>
      </c>
      <c r="I118" s="9">
        <v>7.7021276595744697</v>
      </c>
      <c r="J118" s="9">
        <v>6.9078014184397203</v>
      </c>
      <c r="K118" s="9">
        <v>5.13986013986014</v>
      </c>
      <c r="L118" s="9">
        <v>6.4440559440559397</v>
      </c>
      <c r="M118" s="9">
        <v>8.8146853146853203</v>
      </c>
      <c r="N118" s="9">
        <v>6.6118881118881099</v>
      </c>
      <c r="O118" s="9">
        <v>6.06993006993007</v>
      </c>
      <c r="P118" s="9">
        <v>5.3356643356643403</v>
      </c>
      <c r="Q118" s="9">
        <v>10.391608391608401</v>
      </c>
      <c r="R118" s="9">
        <v>0</v>
      </c>
      <c r="S118" s="9">
        <v>0.92085137614678902</v>
      </c>
      <c r="T118" s="9">
        <v>0.969062937062937</v>
      </c>
      <c r="U118" s="9">
        <v>2.2983496503496501</v>
      </c>
      <c r="V118" s="9">
        <v>3.3682013986013999</v>
      </c>
      <c r="W118" s="9">
        <v>2.6022937062937102</v>
      </c>
      <c r="X118" s="9">
        <v>3.1191272727272699</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9">
        <v>0</v>
      </c>
      <c r="AO118" s="9">
        <v>0</v>
      </c>
      <c r="AP118" s="9">
        <v>0</v>
      </c>
      <c r="AQ118" s="9">
        <v>0</v>
      </c>
      <c r="AR118" s="9">
        <v>0</v>
      </c>
      <c r="AS118" s="9">
        <v>0</v>
      </c>
      <c r="AT118" s="9">
        <v>0</v>
      </c>
      <c r="AU118" s="9">
        <v>0</v>
      </c>
      <c r="AV118" s="9">
        <v>0</v>
      </c>
      <c r="AW118" s="9">
        <v>0</v>
      </c>
      <c r="AX118" s="9">
        <f t="shared" si="28"/>
        <v>103.03991277198566</v>
      </c>
      <c r="AY118" s="9">
        <f t="shared" si="29"/>
        <v>22.509629658752992</v>
      </c>
      <c r="AZ118" s="9">
        <f t="shared" si="30"/>
        <v>41.786916083916097</v>
      </c>
      <c r="BA118" s="9">
        <f t="shared" si="31"/>
        <v>43.246908337521042</v>
      </c>
      <c r="BB118" s="9">
        <f t="shared" si="32"/>
        <v>59.793004434464635</v>
      </c>
      <c r="BC118" s="19"/>
      <c r="BD118" s="9">
        <v>66</v>
      </c>
      <c r="BF118" s="257">
        <v>49.45</v>
      </c>
      <c r="BH118" s="252">
        <v>13</v>
      </c>
      <c r="BI118" s="252">
        <f t="shared" si="33"/>
        <v>13</v>
      </c>
      <c r="BJ118" s="252">
        <f t="shared" si="45"/>
        <v>84.855363917852202</v>
      </c>
      <c r="BK118" s="256">
        <f t="shared" si="43"/>
        <v>13</v>
      </c>
      <c r="BP118" s="252">
        <v>0</v>
      </c>
      <c r="BQ118" s="252">
        <f t="shared" si="34"/>
        <v>0</v>
      </c>
      <c r="BR118" s="256">
        <f t="shared" si="35"/>
        <v>84.855363917852202</v>
      </c>
      <c r="BS118" s="255">
        <f t="shared" si="44"/>
        <v>0</v>
      </c>
      <c r="BU118" s="252">
        <v>8</v>
      </c>
      <c r="BW118" s="9">
        <v>12</v>
      </c>
      <c r="BX118" s="9">
        <v>8</v>
      </c>
      <c r="BY118" s="9">
        <v>6</v>
      </c>
      <c r="BZ118" s="9">
        <v>6</v>
      </c>
      <c r="CA118" s="9">
        <v>4</v>
      </c>
      <c r="CB118" s="9">
        <v>13</v>
      </c>
      <c r="CC118" s="9">
        <v>10</v>
      </c>
      <c r="CD118" s="9">
        <v>10</v>
      </c>
      <c r="CE118" s="9">
        <v>10</v>
      </c>
      <c r="CF118" s="9">
        <v>8</v>
      </c>
      <c r="CG118" s="9">
        <v>13</v>
      </c>
      <c r="CH118" s="9">
        <v>10</v>
      </c>
      <c r="CI118" s="9">
        <v>9</v>
      </c>
      <c r="CJ118" s="9">
        <v>8</v>
      </c>
      <c r="CK118" s="23">
        <f t="shared" si="36"/>
        <v>111</v>
      </c>
      <c r="CL118">
        <f t="shared" si="37"/>
        <v>20</v>
      </c>
      <c r="CM118">
        <f t="shared" si="38"/>
        <v>40</v>
      </c>
      <c r="CN118" s="23">
        <f t="shared" si="39"/>
        <v>53</v>
      </c>
      <c r="CO118">
        <f>MAX($D$181,SUM(CE118:CJ118) +((AK118+AL118+AM118+AN118+AO118+AP118+AR118+AS118+AT118+AU118+AV118+AW118)*0.25))</f>
        <v>100</v>
      </c>
      <c r="CQ118" s="23">
        <f t="shared" si="40"/>
        <v>57</v>
      </c>
      <c r="CR118" s="23">
        <f t="shared" si="41"/>
        <v>58</v>
      </c>
    </row>
    <row r="119" spans="1:96" ht="29.25">
      <c r="A119" t="str">
        <f t="shared" si="24"/>
        <v>451</v>
      </c>
      <c r="B119">
        <f t="shared" si="27"/>
        <v>451</v>
      </c>
      <c r="C119" s="14" t="s">
        <v>126</v>
      </c>
      <c r="D119" s="11"/>
      <c r="E119" s="9">
        <f>SUM(23*0.5)</f>
        <v>11.5</v>
      </c>
      <c r="F119" s="9">
        <v>27.026315789473699</v>
      </c>
      <c r="G119" s="9">
        <v>29.245614035087701</v>
      </c>
      <c r="H119" s="9">
        <v>29.1812865497076</v>
      </c>
      <c r="I119" s="9">
        <v>29.184210526315798</v>
      </c>
      <c r="J119" s="9">
        <v>32.2368421052632</v>
      </c>
      <c r="K119" s="9">
        <v>32.087719298245602</v>
      </c>
      <c r="L119" s="9">
        <v>29.251461988304101</v>
      </c>
      <c r="M119" s="9">
        <v>30.456140350877199</v>
      </c>
      <c r="N119" s="9">
        <v>34.883040935672497</v>
      </c>
      <c r="O119" s="9">
        <v>31.160818713450301</v>
      </c>
      <c r="P119" s="9">
        <v>31.304093567251499</v>
      </c>
      <c r="Q119" s="9">
        <v>30.083832335329301</v>
      </c>
      <c r="R119" s="9">
        <v>0</v>
      </c>
      <c r="S119" s="9">
        <v>0</v>
      </c>
      <c r="T119" s="9">
        <v>0</v>
      </c>
      <c r="U119" s="9">
        <v>0</v>
      </c>
      <c r="V119" s="9">
        <v>0</v>
      </c>
      <c r="W119" s="9">
        <v>0</v>
      </c>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9">
        <v>0</v>
      </c>
      <c r="AO119" s="9">
        <v>0</v>
      </c>
      <c r="AP119" s="9">
        <v>0</v>
      </c>
      <c r="AQ119" s="9">
        <v>0</v>
      </c>
      <c r="AR119" s="9">
        <v>0</v>
      </c>
      <c r="AS119" s="9">
        <v>0</v>
      </c>
      <c r="AT119" s="9">
        <v>0</v>
      </c>
      <c r="AU119" s="9">
        <v>0</v>
      </c>
      <c r="AV119" s="9">
        <v>0</v>
      </c>
      <c r="AW119" s="9">
        <v>0</v>
      </c>
      <c r="AX119" s="9">
        <f t="shared" si="28"/>
        <v>396.48144500472745</v>
      </c>
      <c r="AY119" s="9">
        <f t="shared" si="29"/>
        <v>101.80087719298245</v>
      </c>
      <c r="AZ119" s="9">
        <f t="shared" si="30"/>
        <v>133.80337482928877</v>
      </c>
      <c r="BA119" s="9">
        <f t="shared" si="31"/>
        <v>199.98508771929829</v>
      </c>
      <c r="BB119" s="9">
        <f t="shared" si="32"/>
        <v>196.49635728542916</v>
      </c>
      <c r="BC119" s="19"/>
      <c r="BD119" s="9">
        <v>116</v>
      </c>
      <c r="BF119" s="252">
        <v>141</v>
      </c>
      <c r="BH119" s="252">
        <v>9</v>
      </c>
      <c r="BI119" s="252">
        <f t="shared" si="33"/>
        <v>9</v>
      </c>
      <c r="BJ119" s="252">
        <f t="shared" si="45"/>
        <v>377.60137619497851</v>
      </c>
      <c r="BK119" s="256">
        <f t="shared" si="43"/>
        <v>9</v>
      </c>
      <c r="BP119" s="252">
        <v>0</v>
      </c>
      <c r="BQ119" s="252">
        <f t="shared" si="34"/>
        <v>0</v>
      </c>
      <c r="BR119" s="256">
        <f t="shared" si="35"/>
        <v>377.60137619497851</v>
      </c>
      <c r="BS119" s="255">
        <f t="shared" si="44"/>
        <v>0</v>
      </c>
      <c r="BU119" s="252">
        <v>0</v>
      </c>
      <c r="BW119" s="9">
        <v>0</v>
      </c>
      <c r="BX119" s="9">
        <v>24</v>
      </c>
      <c r="BY119" s="9">
        <v>28</v>
      </c>
      <c r="BZ119" s="9">
        <v>29</v>
      </c>
      <c r="CA119" s="9">
        <v>30</v>
      </c>
      <c r="CB119" s="9">
        <v>29</v>
      </c>
      <c r="CC119" s="9">
        <v>33</v>
      </c>
      <c r="CD119" s="9">
        <v>31</v>
      </c>
      <c r="CE119" s="9">
        <v>31</v>
      </c>
      <c r="CF119" s="9">
        <v>30</v>
      </c>
      <c r="CG119" s="9">
        <v>40</v>
      </c>
      <c r="CH119" s="9">
        <v>35</v>
      </c>
      <c r="CI119" s="9">
        <v>31</v>
      </c>
      <c r="CJ119" s="9">
        <v>35</v>
      </c>
      <c r="CK119" s="23">
        <f t="shared" si="36"/>
        <v>394</v>
      </c>
      <c r="CL119">
        <f t="shared" si="37"/>
        <v>99</v>
      </c>
      <c r="CM119">
        <f t="shared" si="38"/>
        <v>141</v>
      </c>
      <c r="CN119" s="23">
        <f t="shared" si="39"/>
        <v>192</v>
      </c>
      <c r="CO119" s="176">
        <f>SUM(CE119:CJ119)+((AK119+AL119+AM119+AN119+AO119+AP119+AR119+AS119+AT119+AU119+AV119+AW119)*0.25)</f>
        <v>202</v>
      </c>
      <c r="CQ119" s="23">
        <f t="shared" si="40"/>
        <v>204</v>
      </c>
      <c r="CR119" s="23">
        <f t="shared" si="41"/>
        <v>202</v>
      </c>
    </row>
    <row r="120" spans="1:96" ht="29.25">
      <c r="A120" t="str">
        <f t="shared" si="24"/>
        <v>452</v>
      </c>
      <c r="B120">
        <f t="shared" si="27"/>
        <v>452</v>
      </c>
      <c r="C120" s="14" t="s">
        <v>127</v>
      </c>
      <c r="D120" s="11"/>
      <c r="E120" s="9">
        <f>SUM(78.8639053254438*0.5)</f>
        <v>39.431952662721898</v>
      </c>
      <c r="F120" s="9">
        <v>69.420118343195298</v>
      </c>
      <c r="G120" s="9">
        <v>84.686390532544394</v>
      </c>
      <c r="H120" s="9">
        <v>89.958579881656803</v>
      </c>
      <c r="I120" s="9">
        <v>107.082840236686</v>
      </c>
      <c r="J120" s="9">
        <v>115.257396449704</v>
      </c>
      <c r="K120" s="9">
        <v>139.86094674556199</v>
      </c>
      <c r="L120" s="9">
        <v>159.50887573964499</v>
      </c>
      <c r="M120" s="9">
        <v>195.04437869822499</v>
      </c>
      <c r="N120" s="9">
        <v>169.78402366863901</v>
      </c>
      <c r="O120" s="9">
        <v>141.65384615384599</v>
      </c>
      <c r="P120" s="9">
        <v>160.973372781065</v>
      </c>
      <c r="Q120" s="9">
        <v>146.50887573964499</v>
      </c>
      <c r="R120" s="9">
        <v>0</v>
      </c>
      <c r="S120" s="9">
        <v>0</v>
      </c>
      <c r="T120" s="9">
        <v>0</v>
      </c>
      <c r="U120" s="9">
        <v>17.6757946245983</v>
      </c>
      <c r="V120" s="9">
        <v>35.472935533628899</v>
      </c>
      <c r="W120" s="9">
        <v>55.498730751765898</v>
      </c>
      <c r="X120" s="9">
        <v>67.368926192373493</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9">
        <v>0</v>
      </c>
      <c r="AO120" s="9">
        <v>0</v>
      </c>
      <c r="AP120" s="9">
        <v>0</v>
      </c>
      <c r="AQ120" s="9">
        <v>0</v>
      </c>
      <c r="AR120" s="9">
        <v>0</v>
      </c>
      <c r="AS120" s="9">
        <v>0</v>
      </c>
      <c r="AT120" s="9">
        <v>0</v>
      </c>
      <c r="AU120" s="9">
        <v>4.0784313725490202</v>
      </c>
      <c r="AV120" s="9">
        <v>12.3764705882353</v>
      </c>
      <c r="AW120" s="9">
        <v>26.807843137254899</v>
      </c>
      <c r="AX120" s="9">
        <f t="shared" si="28"/>
        <v>1930.3732663252183</v>
      </c>
      <c r="AY120" s="9">
        <f t="shared" si="29"/>
        <v>297.67189349112437</v>
      </c>
      <c r="AZ120" s="9">
        <f t="shared" si="30"/>
        <v>880.10921307078081</v>
      </c>
      <c r="BA120" s="9">
        <f t="shared" si="31"/>
        <v>677.98313609467402</v>
      </c>
      <c r="BB120" s="9">
        <f t="shared" si="32"/>
        <v>1252.3901302305442</v>
      </c>
      <c r="BC120" s="19"/>
      <c r="BD120" s="9">
        <v>1056</v>
      </c>
      <c r="BF120" s="252">
        <v>973</v>
      </c>
      <c r="BH120" s="252">
        <v>253</v>
      </c>
      <c r="BI120" s="252">
        <f t="shared" si="33"/>
        <v>253</v>
      </c>
      <c r="BJ120" s="252">
        <f t="shared" si="45"/>
        <v>1619.1715976331354</v>
      </c>
      <c r="BK120" s="256">
        <f t="shared" si="43"/>
        <v>253</v>
      </c>
      <c r="BP120" s="252">
        <v>6</v>
      </c>
      <c r="BQ120" s="252">
        <f t="shared" si="34"/>
        <v>6</v>
      </c>
      <c r="BR120" s="256">
        <f t="shared" si="35"/>
        <v>1619.1715976331354</v>
      </c>
      <c r="BS120" s="255">
        <f t="shared" si="44"/>
        <v>6</v>
      </c>
      <c r="BU120" s="252">
        <v>101</v>
      </c>
      <c r="BW120" s="9">
        <v>0</v>
      </c>
      <c r="BX120" s="9">
        <v>85</v>
      </c>
      <c r="BY120" s="9">
        <v>70</v>
      </c>
      <c r="BZ120" s="9">
        <v>65</v>
      </c>
      <c r="CA120" s="9">
        <v>89</v>
      </c>
      <c r="CB120" s="9">
        <v>87</v>
      </c>
      <c r="CC120" s="9">
        <v>120</v>
      </c>
      <c r="CD120" s="9">
        <v>136</v>
      </c>
      <c r="CE120" s="9">
        <v>179</v>
      </c>
      <c r="CF120" s="9">
        <v>232</v>
      </c>
      <c r="CG120" s="9">
        <v>135</v>
      </c>
      <c r="CH120" s="9">
        <v>212</v>
      </c>
      <c r="CI120" s="9">
        <v>190</v>
      </c>
      <c r="CJ120" s="9">
        <v>194</v>
      </c>
      <c r="CK120" s="23">
        <f t="shared" si="36"/>
        <v>1762.3156862745097</v>
      </c>
      <c r="CL120">
        <f t="shared" si="37"/>
        <v>266.5</v>
      </c>
      <c r="CM120">
        <f t="shared" si="38"/>
        <v>741.81568627450986</v>
      </c>
      <c r="CN120" s="23">
        <f t="shared" si="39"/>
        <v>609.5</v>
      </c>
      <c r="CO120" s="176">
        <f t="shared" ref="CO120:CO176" si="46">SUM(CE120:CJ120)+((AK120+AL120+AM120+AN120+AO120+AP120+AR120+AS120+AT120+AU120+AV120+AW120)*0.25)</f>
        <v>1152.8156862745097</v>
      </c>
      <c r="CQ120" s="23">
        <f t="shared" si="40"/>
        <v>652</v>
      </c>
      <c r="CR120" s="23">
        <f t="shared" si="41"/>
        <v>1152.8156862745097</v>
      </c>
    </row>
    <row r="121" spans="1:96" ht="29.25">
      <c r="A121" t="str">
        <f t="shared" si="24"/>
        <v>453</v>
      </c>
      <c r="B121">
        <f t="shared" si="27"/>
        <v>453</v>
      </c>
      <c r="C121" s="14" t="s">
        <v>128</v>
      </c>
      <c r="D121" s="11"/>
      <c r="E121" s="9">
        <f>SUM(22.7657142857143*0.5)</f>
        <v>11.38285714285715</v>
      </c>
      <c r="F121" s="9">
        <v>22.7</v>
      </c>
      <c r="G121" s="9">
        <v>22.834285714285699</v>
      </c>
      <c r="H121" s="9">
        <v>0</v>
      </c>
      <c r="I121" s="9">
        <v>0</v>
      </c>
      <c r="J121" s="9">
        <v>0</v>
      </c>
      <c r="K121" s="9">
        <v>0</v>
      </c>
      <c r="L121" s="9">
        <v>0</v>
      </c>
      <c r="M121" s="9">
        <v>0</v>
      </c>
      <c r="N121" s="9">
        <v>13.8375440875162</v>
      </c>
      <c r="O121" s="9">
        <v>32.935583935948102</v>
      </c>
      <c r="P121" s="9">
        <v>37.0326066369608</v>
      </c>
      <c r="Q121" s="9">
        <v>31.422731362107498</v>
      </c>
      <c r="R121" s="9">
        <v>0</v>
      </c>
      <c r="S121" s="9">
        <v>0</v>
      </c>
      <c r="T121" s="9">
        <v>0</v>
      </c>
      <c r="U121" s="9">
        <v>21.143784609614901</v>
      </c>
      <c r="V121" s="9">
        <v>37.007719401191999</v>
      </c>
      <c r="W121" s="9">
        <v>57.996114123813399</v>
      </c>
      <c r="X121" s="9">
        <v>94.089344039756497</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9">
        <v>0</v>
      </c>
      <c r="AO121" s="9">
        <v>0</v>
      </c>
      <c r="AP121" s="9">
        <v>0</v>
      </c>
      <c r="AQ121" s="9">
        <v>0</v>
      </c>
      <c r="AR121" s="9">
        <v>0</v>
      </c>
      <c r="AS121" s="9">
        <v>0</v>
      </c>
      <c r="AT121" s="9">
        <v>37.435294117647103</v>
      </c>
      <c r="AU121" s="9">
        <v>16.345098039215699</v>
      </c>
      <c r="AV121" s="9">
        <v>34.380392156862698</v>
      </c>
      <c r="AW121" s="9">
        <v>74.901960784313701</v>
      </c>
      <c r="AX121" s="9">
        <f t="shared" si="28"/>
        <v>572.71758195969608</v>
      </c>
      <c r="AY121" s="9">
        <f t="shared" si="29"/>
        <v>59.762999999999991</v>
      </c>
      <c r="AZ121" s="9">
        <f t="shared" si="30"/>
        <v>512.95458195969604</v>
      </c>
      <c r="BA121" s="9">
        <f t="shared" si="31"/>
        <v>59.762999999999991</v>
      </c>
      <c r="BB121" s="9">
        <f t="shared" si="32"/>
        <v>512.95458195969604</v>
      </c>
      <c r="BC121" s="19"/>
      <c r="BD121" s="126">
        <v>203.1</v>
      </c>
      <c r="BF121" s="252">
        <v>106</v>
      </c>
      <c r="BH121" s="252">
        <v>13</v>
      </c>
      <c r="BI121" s="252">
        <f t="shared" si="33"/>
        <v>13</v>
      </c>
      <c r="BJ121" s="252">
        <f t="shared" si="45"/>
        <v>172.14560887967545</v>
      </c>
      <c r="BK121" s="256">
        <f t="shared" si="43"/>
        <v>13</v>
      </c>
      <c r="BP121" s="252">
        <v>0</v>
      </c>
      <c r="BQ121" s="252">
        <f t="shared" si="34"/>
        <v>0</v>
      </c>
      <c r="BR121" s="256">
        <f t="shared" si="35"/>
        <v>172.14560887967545</v>
      </c>
      <c r="BS121" s="255">
        <f t="shared" si="44"/>
        <v>0</v>
      </c>
      <c r="BU121" s="252">
        <v>0</v>
      </c>
      <c r="BW121" s="9">
        <v>0</v>
      </c>
      <c r="BX121" s="9">
        <v>23</v>
      </c>
      <c r="BY121" s="9">
        <v>24</v>
      </c>
      <c r="BZ121" s="9">
        <v>24</v>
      </c>
      <c r="CA121" s="9">
        <v>24</v>
      </c>
      <c r="CB121" s="9">
        <v>0</v>
      </c>
      <c r="CC121" s="9">
        <v>0</v>
      </c>
      <c r="CD121" s="9">
        <v>0</v>
      </c>
      <c r="CE121" s="9">
        <v>0</v>
      </c>
      <c r="CF121" s="9">
        <v>0</v>
      </c>
      <c r="CG121" s="9">
        <v>23</v>
      </c>
      <c r="CH121" s="9">
        <v>59</v>
      </c>
      <c r="CI121" s="9">
        <v>101</v>
      </c>
      <c r="CJ121" s="9">
        <v>180</v>
      </c>
      <c r="CK121" s="23">
        <f t="shared" si="36"/>
        <v>487.26568627450979</v>
      </c>
      <c r="CL121">
        <f t="shared" si="37"/>
        <v>83.5</v>
      </c>
      <c r="CM121">
        <f t="shared" si="38"/>
        <v>403.76568627450979</v>
      </c>
      <c r="CN121" s="23">
        <f t="shared" si="39"/>
        <v>83.5</v>
      </c>
      <c r="CO121" s="176">
        <f t="shared" si="46"/>
        <v>403.76568627450979</v>
      </c>
      <c r="CQ121" s="23">
        <f t="shared" si="40"/>
        <v>95</v>
      </c>
      <c r="CR121" s="23">
        <f t="shared" si="41"/>
        <v>403.76568627450979</v>
      </c>
    </row>
    <row r="122" spans="1:96" ht="29.25">
      <c r="A122" t="str">
        <f t="shared" si="24"/>
        <v>454</v>
      </c>
      <c r="B122">
        <f t="shared" si="27"/>
        <v>454</v>
      </c>
      <c r="C122" s="14" t="s">
        <v>129</v>
      </c>
      <c r="D122" s="11"/>
      <c r="E122" s="9">
        <f>SUM(22.4820359281437*0.5)</f>
        <v>11.241017964071849</v>
      </c>
      <c r="F122" s="9">
        <v>25.829341317365301</v>
      </c>
      <c r="G122" s="9">
        <v>27.919161676646699</v>
      </c>
      <c r="H122" s="9">
        <v>29.826347305389199</v>
      </c>
      <c r="I122" s="9">
        <v>30.461077844311401</v>
      </c>
      <c r="J122" s="9">
        <v>28.2814371257485</v>
      </c>
      <c r="K122" s="9">
        <v>28.790419161676599</v>
      </c>
      <c r="L122" s="9">
        <v>26.197604790419199</v>
      </c>
      <c r="M122" s="9">
        <v>27.688622754491</v>
      </c>
      <c r="N122" s="9">
        <v>0</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9">
        <v>0</v>
      </c>
      <c r="AO122" s="9">
        <v>0</v>
      </c>
      <c r="AP122" s="9">
        <v>0</v>
      </c>
      <c r="AQ122" s="9">
        <v>0</v>
      </c>
      <c r="AR122" s="9">
        <v>0</v>
      </c>
      <c r="AS122" s="9">
        <v>0</v>
      </c>
      <c r="AT122" s="9">
        <v>0</v>
      </c>
      <c r="AU122" s="9">
        <v>0</v>
      </c>
      <c r="AV122" s="9">
        <v>0</v>
      </c>
      <c r="AW122" s="9">
        <v>0</v>
      </c>
      <c r="AX122" s="9">
        <f t="shared" si="28"/>
        <v>248.04678143712576</v>
      </c>
      <c r="AY122" s="9">
        <f t="shared" si="29"/>
        <v>99.556661676646712</v>
      </c>
      <c r="AZ122" s="9">
        <f t="shared" si="30"/>
        <v>0</v>
      </c>
      <c r="BA122" s="9">
        <f t="shared" si="31"/>
        <v>191.46624251497005</v>
      </c>
      <c r="BB122" s="9">
        <f t="shared" si="32"/>
        <v>56.580538922155711</v>
      </c>
      <c r="BC122" s="19"/>
      <c r="BD122" s="9">
        <v>79</v>
      </c>
      <c r="BF122" s="252">
        <v>66</v>
      </c>
      <c r="BH122" s="252">
        <v>32</v>
      </c>
      <c r="BI122" s="252">
        <f t="shared" si="33"/>
        <v>32</v>
      </c>
      <c r="BJ122" s="252">
        <f t="shared" si="45"/>
        <v>236.23502994011977</v>
      </c>
      <c r="BK122" s="256">
        <f t="shared" si="43"/>
        <v>32</v>
      </c>
      <c r="BP122" s="252">
        <v>7</v>
      </c>
      <c r="BQ122" s="252">
        <f t="shared" si="34"/>
        <v>7</v>
      </c>
      <c r="BR122" s="256">
        <f t="shared" si="35"/>
        <v>236.23502994011977</v>
      </c>
      <c r="BS122" s="255">
        <f t="shared" si="44"/>
        <v>7</v>
      </c>
      <c r="BU122" s="252">
        <v>0</v>
      </c>
      <c r="BW122" s="9">
        <v>0</v>
      </c>
      <c r="BX122" s="9">
        <v>23</v>
      </c>
      <c r="BY122" s="9">
        <v>25</v>
      </c>
      <c r="BZ122" s="9">
        <v>25</v>
      </c>
      <c r="CA122" s="9">
        <v>30</v>
      </c>
      <c r="CB122" s="9">
        <v>32</v>
      </c>
      <c r="CC122" s="9">
        <v>32</v>
      </c>
      <c r="CD122" s="9">
        <v>27</v>
      </c>
      <c r="CE122" s="9">
        <v>27</v>
      </c>
      <c r="CF122" s="9">
        <v>25</v>
      </c>
      <c r="CG122" s="9">
        <v>0</v>
      </c>
      <c r="CH122" s="9">
        <v>0</v>
      </c>
      <c r="CI122" s="9">
        <v>0</v>
      </c>
      <c r="CJ122" s="9">
        <v>0</v>
      </c>
      <c r="CK122" s="23">
        <f t="shared" si="36"/>
        <v>234.5</v>
      </c>
      <c r="CL122">
        <f t="shared" si="37"/>
        <v>91.5</v>
      </c>
      <c r="CM122">
        <f t="shared" si="38"/>
        <v>0</v>
      </c>
      <c r="CN122" s="23">
        <f t="shared" si="39"/>
        <v>182.5</v>
      </c>
      <c r="CO122" s="176">
        <f t="shared" si="46"/>
        <v>52</v>
      </c>
      <c r="CQ122" s="23">
        <f t="shared" si="40"/>
        <v>194</v>
      </c>
      <c r="CR122" s="23">
        <f t="shared" si="41"/>
        <v>52</v>
      </c>
    </row>
    <row r="123" spans="1:96" ht="29.25">
      <c r="A123" t="str">
        <f t="shared" si="24"/>
        <v>455</v>
      </c>
      <c r="B123">
        <f t="shared" si="27"/>
        <v>455</v>
      </c>
      <c r="C123" s="14" t="s">
        <v>130</v>
      </c>
      <c r="D123" s="11"/>
      <c r="E123" s="9">
        <f>SUM(66.1736526946108*0.5)</f>
        <v>33.086826347305397</v>
      </c>
      <c r="F123" s="9">
        <v>69.107142857142904</v>
      </c>
      <c r="G123" s="9">
        <v>74.136904761904802</v>
      </c>
      <c r="H123" s="9">
        <v>74.630952380952394</v>
      </c>
      <c r="I123" s="9">
        <v>80.744047619047606</v>
      </c>
      <c r="J123" s="9">
        <v>80.0833333333333</v>
      </c>
      <c r="K123" s="9">
        <v>86.0625</v>
      </c>
      <c r="L123" s="9">
        <v>86.985119047619094</v>
      </c>
      <c r="M123" s="9">
        <v>85.172619047619094</v>
      </c>
      <c r="N123" s="9">
        <v>62.991071428571402</v>
      </c>
      <c r="O123" s="9">
        <v>41.803571428571402</v>
      </c>
      <c r="P123" s="9">
        <v>45.613095238095198</v>
      </c>
      <c r="Q123" s="9">
        <v>20.282738095238098</v>
      </c>
      <c r="R123" s="9">
        <v>0</v>
      </c>
      <c r="S123" s="9">
        <v>0</v>
      </c>
      <c r="T123" s="9">
        <v>0</v>
      </c>
      <c r="U123" s="9">
        <v>0</v>
      </c>
      <c r="V123" s="9">
        <v>0</v>
      </c>
      <c r="W123" s="9">
        <v>0</v>
      </c>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9">
        <v>0</v>
      </c>
      <c r="AO123" s="9">
        <v>0</v>
      </c>
      <c r="AP123" s="9">
        <v>0</v>
      </c>
      <c r="AQ123" s="9">
        <v>0</v>
      </c>
      <c r="AR123" s="9">
        <v>0</v>
      </c>
      <c r="AS123" s="9">
        <v>0</v>
      </c>
      <c r="AT123" s="9">
        <v>0</v>
      </c>
      <c r="AU123" s="9">
        <v>0</v>
      </c>
      <c r="AV123" s="9">
        <v>0</v>
      </c>
      <c r="AW123" s="9">
        <v>0</v>
      </c>
      <c r="AX123" s="9">
        <f t="shared" si="28"/>
        <v>882.73491766467077</v>
      </c>
      <c r="AY123" s="9">
        <f t="shared" si="29"/>
        <v>263.50991766467081</v>
      </c>
      <c r="AZ123" s="9">
        <f t="shared" si="30"/>
        <v>179.22499999999994</v>
      </c>
      <c r="BA123" s="9">
        <f t="shared" si="31"/>
        <v>522.74429266467075</v>
      </c>
      <c r="BB123" s="9">
        <f t="shared" si="32"/>
        <v>359.99062499999997</v>
      </c>
      <c r="BC123" s="19"/>
      <c r="BD123" s="9">
        <v>137</v>
      </c>
      <c r="BF123" s="252">
        <v>152</v>
      </c>
      <c r="BH123" s="252">
        <v>29</v>
      </c>
      <c r="BI123" s="252">
        <f t="shared" si="33"/>
        <v>29</v>
      </c>
      <c r="BJ123" s="252">
        <f t="shared" si="45"/>
        <v>840.69992158540072</v>
      </c>
      <c r="BK123" s="256">
        <f t="shared" si="43"/>
        <v>29</v>
      </c>
      <c r="BP123" s="252">
        <v>15</v>
      </c>
      <c r="BQ123" s="252">
        <f t="shared" si="34"/>
        <v>15</v>
      </c>
      <c r="BR123" s="256">
        <f t="shared" si="35"/>
        <v>840.69992158540072</v>
      </c>
      <c r="BS123" s="255">
        <f t="shared" si="44"/>
        <v>15</v>
      </c>
      <c r="BU123" s="252">
        <v>61</v>
      </c>
      <c r="BW123" s="9">
        <v>0</v>
      </c>
      <c r="BX123" s="9">
        <v>93</v>
      </c>
      <c r="BY123" s="9">
        <v>95</v>
      </c>
      <c r="BZ123" s="9">
        <v>95</v>
      </c>
      <c r="CA123" s="9">
        <v>96</v>
      </c>
      <c r="CB123" s="9">
        <v>101</v>
      </c>
      <c r="CC123" s="9">
        <v>109</v>
      </c>
      <c r="CD123" s="9">
        <v>90</v>
      </c>
      <c r="CE123" s="9">
        <v>91</v>
      </c>
      <c r="CF123" s="9">
        <v>94</v>
      </c>
      <c r="CG123" s="9">
        <v>69</v>
      </c>
      <c r="CH123" s="9">
        <v>61</v>
      </c>
      <c r="CI123" s="9">
        <v>40</v>
      </c>
      <c r="CJ123" s="9">
        <v>46</v>
      </c>
      <c r="CK123" s="23">
        <f t="shared" si="36"/>
        <v>1033.5</v>
      </c>
      <c r="CL123">
        <f t="shared" si="37"/>
        <v>332.5</v>
      </c>
      <c r="CM123">
        <f t="shared" si="38"/>
        <v>216</v>
      </c>
      <c r="CN123" s="23">
        <f t="shared" si="39"/>
        <v>632.5</v>
      </c>
      <c r="CO123" s="176">
        <f t="shared" si="46"/>
        <v>401</v>
      </c>
      <c r="CQ123" s="23">
        <f t="shared" si="40"/>
        <v>679</v>
      </c>
      <c r="CR123" s="23">
        <f t="shared" si="41"/>
        <v>401</v>
      </c>
    </row>
    <row r="124" spans="1:96" ht="29.25">
      <c r="A124" t="str">
        <f t="shared" si="24"/>
        <v>456</v>
      </c>
      <c r="B124">
        <f t="shared" si="27"/>
        <v>456</v>
      </c>
      <c r="C124" s="14" t="s">
        <v>131</v>
      </c>
      <c r="D124" s="11"/>
      <c r="E124" s="9">
        <f>SUM(22.9518072289157*0.5)</f>
        <v>11.475903614457851</v>
      </c>
      <c r="F124" s="9">
        <v>28.003012048192801</v>
      </c>
      <c r="G124" s="9">
        <v>28.147590361445801</v>
      </c>
      <c r="H124" s="9">
        <v>27.918674698795201</v>
      </c>
      <c r="I124" s="9">
        <v>31.8855421686747</v>
      </c>
      <c r="J124" s="9">
        <v>31.243975903614501</v>
      </c>
      <c r="K124" s="9">
        <v>31.689759036144601</v>
      </c>
      <c r="L124" s="9">
        <v>31.731927710843401</v>
      </c>
      <c r="M124" s="9">
        <v>30.421686746988001</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9">
        <v>0</v>
      </c>
      <c r="AO124" s="9">
        <v>0</v>
      </c>
      <c r="AP124" s="9">
        <v>0</v>
      </c>
      <c r="AQ124" s="9">
        <v>0</v>
      </c>
      <c r="AR124" s="9">
        <v>0</v>
      </c>
      <c r="AS124" s="9">
        <v>0</v>
      </c>
      <c r="AT124" s="9">
        <v>0</v>
      </c>
      <c r="AU124" s="9">
        <v>0</v>
      </c>
      <c r="AV124" s="9">
        <v>0</v>
      </c>
      <c r="AW124" s="9">
        <v>0</v>
      </c>
      <c r="AX124" s="9">
        <f t="shared" si="28"/>
        <v>265.14397590361472</v>
      </c>
      <c r="AY124" s="9">
        <f t="shared" si="29"/>
        <v>100.32243975903623</v>
      </c>
      <c r="AZ124" s="9">
        <f t="shared" si="30"/>
        <v>0</v>
      </c>
      <c r="BA124" s="9">
        <f t="shared" si="31"/>
        <v>199.88268072289173</v>
      </c>
      <c r="BB124" s="9">
        <f t="shared" si="32"/>
        <v>65.261295180722982</v>
      </c>
      <c r="BC124" s="19"/>
      <c r="BD124" s="9">
        <v>52</v>
      </c>
      <c r="BF124" s="252">
        <v>48</v>
      </c>
      <c r="BH124" s="252">
        <v>10</v>
      </c>
      <c r="BI124" s="252">
        <f t="shared" si="33"/>
        <v>10</v>
      </c>
      <c r="BJ124" s="252">
        <f t="shared" si="45"/>
        <v>252.51807228915686</v>
      </c>
      <c r="BK124" s="256">
        <f t="shared" si="43"/>
        <v>10</v>
      </c>
      <c r="BP124" s="252">
        <v>0</v>
      </c>
      <c r="BQ124" s="252">
        <f t="shared" si="34"/>
        <v>0</v>
      </c>
      <c r="BR124" s="256">
        <f t="shared" si="35"/>
        <v>252.51807228915686</v>
      </c>
      <c r="BS124" s="255">
        <f t="shared" si="44"/>
        <v>0</v>
      </c>
      <c r="BU124" s="252">
        <v>0</v>
      </c>
      <c r="BW124" s="9">
        <v>0</v>
      </c>
      <c r="BX124" s="9">
        <v>24</v>
      </c>
      <c r="BY124" s="9">
        <v>29</v>
      </c>
      <c r="BZ124" s="9">
        <v>29</v>
      </c>
      <c r="CA124" s="9">
        <v>29</v>
      </c>
      <c r="CB124" s="9">
        <v>33</v>
      </c>
      <c r="CC124" s="9">
        <v>33</v>
      </c>
      <c r="CD124" s="9">
        <v>33</v>
      </c>
      <c r="CE124" s="9">
        <v>30</v>
      </c>
      <c r="CF124" s="9">
        <v>33</v>
      </c>
      <c r="CG124" s="9">
        <v>0</v>
      </c>
      <c r="CH124" s="9">
        <v>0</v>
      </c>
      <c r="CI124" s="9">
        <v>0</v>
      </c>
      <c r="CJ124" s="9">
        <v>0</v>
      </c>
      <c r="CK124" s="23">
        <f t="shared" si="36"/>
        <v>261</v>
      </c>
      <c r="CL124">
        <f t="shared" si="37"/>
        <v>99</v>
      </c>
      <c r="CM124">
        <f t="shared" si="38"/>
        <v>0</v>
      </c>
      <c r="CN124" s="23">
        <f t="shared" si="39"/>
        <v>198</v>
      </c>
      <c r="CO124" s="176">
        <f t="shared" si="46"/>
        <v>63</v>
      </c>
      <c r="CQ124" s="23">
        <f t="shared" si="40"/>
        <v>210</v>
      </c>
      <c r="CR124" s="23">
        <f t="shared" si="41"/>
        <v>63</v>
      </c>
    </row>
    <row r="125" spans="1:96" ht="29.25">
      <c r="A125" t="str">
        <f t="shared" si="24"/>
        <v>457</v>
      </c>
      <c r="B125">
        <f t="shared" si="27"/>
        <v>457</v>
      </c>
      <c r="C125" s="14" t="s">
        <v>132</v>
      </c>
      <c r="D125" s="11"/>
      <c r="E125" s="9">
        <f>SUM(38.873595505618*0.5)</f>
        <v>19.436797752808999</v>
      </c>
      <c r="F125" s="9">
        <v>24.946629213483099</v>
      </c>
      <c r="G125" s="9">
        <v>25.904494382022499</v>
      </c>
      <c r="H125" s="9">
        <v>45.9578651685393</v>
      </c>
      <c r="I125" s="9">
        <v>37.036516853932604</v>
      </c>
      <c r="J125" s="9">
        <v>46.848314606741603</v>
      </c>
      <c r="K125" s="9">
        <v>61.443820224719097</v>
      </c>
      <c r="L125" s="9">
        <v>83.648876404494402</v>
      </c>
      <c r="M125" s="9">
        <v>96.738764044943807</v>
      </c>
      <c r="N125" s="9">
        <v>104.893258426966</v>
      </c>
      <c r="O125" s="9">
        <v>90.078651685393297</v>
      </c>
      <c r="P125" s="9">
        <v>110.558988764045</v>
      </c>
      <c r="Q125" s="9">
        <v>71.724719101123597</v>
      </c>
      <c r="R125" s="9">
        <v>0</v>
      </c>
      <c r="S125" s="9">
        <v>0</v>
      </c>
      <c r="T125" s="9">
        <v>0</v>
      </c>
      <c r="U125" s="9">
        <v>0</v>
      </c>
      <c r="V125" s="9">
        <v>0</v>
      </c>
      <c r="W125" s="9">
        <v>0</v>
      </c>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9">
        <v>0</v>
      </c>
      <c r="AO125" s="9">
        <v>0</v>
      </c>
      <c r="AP125" s="9">
        <v>0</v>
      </c>
      <c r="AQ125" s="9">
        <v>0</v>
      </c>
      <c r="AR125" s="9">
        <v>0</v>
      </c>
      <c r="AS125" s="9">
        <v>0</v>
      </c>
      <c r="AT125" s="9">
        <v>0</v>
      </c>
      <c r="AU125" s="9">
        <v>0</v>
      </c>
      <c r="AV125" s="9">
        <v>0</v>
      </c>
      <c r="AW125" s="9">
        <v>0</v>
      </c>
      <c r="AX125" s="9">
        <f t="shared" si="28"/>
        <v>860.17858146067408</v>
      </c>
      <c r="AY125" s="9">
        <f t="shared" si="29"/>
        <v>122.0580758426966</v>
      </c>
      <c r="AZ125" s="9">
        <f t="shared" si="30"/>
        <v>396.11839887640429</v>
      </c>
      <c r="BA125" s="9">
        <f t="shared" si="31"/>
        <v>274.65316011235961</v>
      </c>
      <c r="BB125" s="9">
        <f t="shared" si="32"/>
        <v>585.52542134831447</v>
      </c>
      <c r="BC125" s="19"/>
      <c r="BD125" s="9">
        <v>379</v>
      </c>
      <c r="BF125" s="252">
        <v>413</v>
      </c>
      <c r="BH125" s="252">
        <v>116</v>
      </c>
      <c r="BI125" s="252">
        <f t="shared" si="33"/>
        <v>116</v>
      </c>
      <c r="BJ125" s="252">
        <f t="shared" si="45"/>
        <v>819.21769662921338</v>
      </c>
      <c r="BK125" s="256">
        <f t="shared" si="43"/>
        <v>116</v>
      </c>
      <c r="BP125" s="252">
        <v>20</v>
      </c>
      <c r="BQ125" s="252">
        <f t="shared" si="34"/>
        <v>20</v>
      </c>
      <c r="BR125" s="256">
        <f t="shared" si="35"/>
        <v>819.21769662921338</v>
      </c>
      <c r="BS125" s="255">
        <f t="shared" si="44"/>
        <v>20</v>
      </c>
      <c r="BU125" s="252">
        <v>55</v>
      </c>
      <c r="BW125" s="9">
        <v>0</v>
      </c>
      <c r="BX125" s="9">
        <v>35</v>
      </c>
      <c r="BY125" s="9">
        <v>22</v>
      </c>
      <c r="BZ125" s="9">
        <v>31</v>
      </c>
      <c r="CA125" s="9">
        <v>36</v>
      </c>
      <c r="CB125" s="9">
        <v>42</v>
      </c>
      <c r="CC125" s="9">
        <v>52</v>
      </c>
      <c r="CD125" s="9">
        <v>68</v>
      </c>
      <c r="CE125" s="9">
        <v>94</v>
      </c>
      <c r="CF125" s="9">
        <v>121</v>
      </c>
      <c r="CG125" s="9">
        <v>136</v>
      </c>
      <c r="CH125" s="9">
        <v>116</v>
      </c>
      <c r="CI125" s="9">
        <v>112</v>
      </c>
      <c r="CJ125" s="9">
        <v>116</v>
      </c>
      <c r="CK125" s="23">
        <f t="shared" si="36"/>
        <v>963.5</v>
      </c>
      <c r="CL125">
        <f t="shared" si="37"/>
        <v>106.5</v>
      </c>
      <c r="CM125">
        <f t="shared" si="38"/>
        <v>480</v>
      </c>
      <c r="CN125" s="23">
        <f t="shared" si="39"/>
        <v>268.5</v>
      </c>
      <c r="CO125" s="176">
        <f t="shared" si="46"/>
        <v>695</v>
      </c>
      <c r="CQ125" s="23">
        <f t="shared" si="40"/>
        <v>286</v>
      </c>
      <c r="CR125" s="23">
        <f t="shared" si="41"/>
        <v>695</v>
      </c>
    </row>
    <row r="126" spans="1:96" ht="29.25">
      <c r="A126" t="str">
        <f t="shared" si="24"/>
        <v>458</v>
      </c>
      <c r="B126">
        <f t="shared" si="27"/>
        <v>458</v>
      </c>
      <c r="C126" s="14" t="s">
        <v>133</v>
      </c>
      <c r="D126" s="11"/>
      <c r="E126" s="9">
        <f>SUM(24.2222222222222*0.5)</f>
        <v>12.1111111111111</v>
      </c>
      <c r="F126" s="9">
        <v>27.2923976608187</v>
      </c>
      <c r="G126" s="9">
        <v>29.210526315789501</v>
      </c>
      <c r="H126" s="9">
        <v>28.926900584795298</v>
      </c>
      <c r="I126" s="9">
        <v>32.219298245613999</v>
      </c>
      <c r="J126" s="9">
        <v>32.204678362573098</v>
      </c>
      <c r="K126" s="9">
        <v>29.494152046783601</v>
      </c>
      <c r="L126" s="9">
        <v>30.6812865497076</v>
      </c>
      <c r="M126" s="9">
        <v>28.748538011695899</v>
      </c>
      <c r="N126" s="9">
        <v>41.897660818713398</v>
      </c>
      <c r="O126" s="9">
        <v>33.8888888888889</v>
      </c>
      <c r="P126" s="9">
        <v>33.423976608187097</v>
      </c>
      <c r="Q126" s="9">
        <v>27.152694610778401</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9">
        <v>0</v>
      </c>
      <c r="AO126" s="9">
        <v>0</v>
      </c>
      <c r="AP126" s="9">
        <v>0</v>
      </c>
      <c r="AQ126" s="9">
        <v>0</v>
      </c>
      <c r="AR126" s="9">
        <v>0</v>
      </c>
      <c r="AS126" s="9">
        <v>0</v>
      </c>
      <c r="AT126" s="9">
        <v>0</v>
      </c>
      <c r="AU126" s="9">
        <v>0</v>
      </c>
      <c r="AV126" s="9">
        <v>0</v>
      </c>
      <c r="AW126" s="9">
        <v>0</v>
      </c>
      <c r="AX126" s="9">
        <f t="shared" si="28"/>
        <v>406.61471530622947</v>
      </c>
      <c r="AY126" s="9">
        <f t="shared" si="29"/>
        <v>102.41798245614032</v>
      </c>
      <c r="AZ126" s="9">
        <f t="shared" si="30"/>
        <v>143.18138197289619</v>
      </c>
      <c r="BA126" s="9">
        <f t="shared" si="31"/>
        <v>201.03201754385955</v>
      </c>
      <c r="BB126" s="9">
        <f t="shared" si="32"/>
        <v>205.58269776236989</v>
      </c>
      <c r="BC126" s="19"/>
      <c r="BD126" s="9">
        <v>142</v>
      </c>
      <c r="BF126" s="252">
        <v>111</v>
      </c>
      <c r="BH126" s="252">
        <v>20</v>
      </c>
      <c r="BI126" s="252">
        <f t="shared" si="33"/>
        <v>20</v>
      </c>
      <c r="BJ126" s="252">
        <f t="shared" si="45"/>
        <v>387.25210981545661</v>
      </c>
      <c r="BK126" s="256">
        <f t="shared" si="43"/>
        <v>20</v>
      </c>
      <c r="BP126" s="252">
        <v>0</v>
      </c>
      <c r="BQ126" s="252">
        <f t="shared" si="34"/>
        <v>0</v>
      </c>
      <c r="BR126" s="256">
        <f t="shared" si="35"/>
        <v>387.25210981545661</v>
      </c>
      <c r="BS126" s="255">
        <f t="shared" si="44"/>
        <v>0</v>
      </c>
      <c r="BU126" s="252">
        <v>0</v>
      </c>
      <c r="BW126" s="9">
        <v>0</v>
      </c>
      <c r="BX126" s="9">
        <v>24</v>
      </c>
      <c r="BY126" s="9">
        <v>28</v>
      </c>
      <c r="BZ126" s="9">
        <v>30</v>
      </c>
      <c r="CA126" s="9">
        <v>30</v>
      </c>
      <c r="CB126" s="9">
        <v>32</v>
      </c>
      <c r="CC126" s="9">
        <v>30</v>
      </c>
      <c r="CD126" s="9">
        <v>30</v>
      </c>
      <c r="CE126" s="9">
        <v>30</v>
      </c>
      <c r="CF126" s="9">
        <v>30</v>
      </c>
      <c r="CG126" s="9">
        <v>42</v>
      </c>
      <c r="CH126" s="9">
        <v>43</v>
      </c>
      <c r="CI126" s="9">
        <v>32</v>
      </c>
      <c r="CJ126" s="9">
        <v>32</v>
      </c>
      <c r="CK126" s="23">
        <f t="shared" si="36"/>
        <v>401</v>
      </c>
      <c r="CL126">
        <f t="shared" si="37"/>
        <v>100</v>
      </c>
      <c r="CM126">
        <f t="shared" si="38"/>
        <v>149</v>
      </c>
      <c r="CN126" s="23">
        <f t="shared" si="39"/>
        <v>192</v>
      </c>
      <c r="CO126" s="176">
        <f t="shared" si="46"/>
        <v>209</v>
      </c>
      <c r="CQ126" s="23">
        <f t="shared" si="40"/>
        <v>204</v>
      </c>
      <c r="CR126" s="23">
        <f t="shared" si="41"/>
        <v>209</v>
      </c>
    </row>
    <row r="127" spans="1:96" ht="29.25">
      <c r="A127" t="str">
        <f t="shared" si="24"/>
        <v>460</v>
      </c>
      <c r="B127">
        <f t="shared" si="27"/>
        <v>460</v>
      </c>
      <c r="C127" s="15" t="s">
        <v>134</v>
      </c>
      <c r="D127" s="11"/>
      <c r="E127" s="9">
        <f>SUM(46.0063694267516*0.5)</f>
        <v>23.003184713375799</v>
      </c>
      <c r="F127" s="9">
        <v>55.334394904458598</v>
      </c>
      <c r="G127" s="9">
        <v>58.328025477707001</v>
      </c>
      <c r="H127" s="9">
        <v>62.197452229299401</v>
      </c>
      <c r="I127" s="9">
        <v>62.197452229299401</v>
      </c>
      <c r="J127" s="9">
        <v>63.649681528662398</v>
      </c>
      <c r="K127" s="9">
        <v>64.257961783439498</v>
      </c>
      <c r="L127" s="9">
        <v>63.7388535031847</v>
      </c>
      <c r="M127" s="9">
        <v>54.487261146496799</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9">
        <v>0</v>
      </c>
      <c r="AO127" s="9">
        <v>0</v>
      </c>
      <c r="AP127" s="9">
        <v>0</v>
      </c>
      <c r="AQ127" s="9">
        <v>0</v>
      </c>
      <c r="AR127" s="9">
        <v>0</v>
      </c>
      <c r="AS127" s="9">
        <v>0</v>
      </c>
      <c r="AT127" s="9">
        <v>0</v>
      </c>
      <c r="AU127" s="9">
        <v>0</v>
      </c>
      <c r="AV127" s="9">
        <v>0</v>
      </c>
      <c r="AW127" s="9">
        <v>0</v>
      </c>
      <c r="AX127" s="9">
        <f t="shared" si="28"/>
        <v>532.55398089171979</v>
      </c>
      <c r="AY127" s="9">
        <f t="shared" si="29"/>
        <v>208.80621019108284</v>
      </c>
      <c r="AZ127" s="9">
        <f t="shared" si="30"/>
        <v>0</v>
      </c>
      <c r="BA127" s="9">
        <f t="shared" si="31"/>
        <v>408.41656050955419</v>
      </c>
      <c r="BB127" s="9">
        <f t="shared" si="32"/>
        <v>124.13742038216559</v>
      </c>
      <c r="BC127" s="19"/>
      <c r="BD127" s="9">
        <v>163</v>
      </c>
      <c r="BF127" s="252">
        <v>170</v>
      </c>
      <c r="BH127" s="252">
        <v>56</v>
      </c>
      <c r="BI127" s="252">
        <f t="shared" si="33"/>
        <v>56</v>
      </c>
      <c r="BJ127" s="252">
        <f t="shared" si="45"/>
        <v>507.19426751592357</v>
      </c>
      <c r="BK127" s="256">
        <f t="shared" si="43"/>
        <v>56</v>
      </c>
      <c r="BP127" s="252">
        <v>0</v>
      </c>
      <c r="BQ127" s="252">
        <f t="shared" si="34"/>
        <v>0</v>
      </c>
      <c r="BR127" s="256">
        <f t="shared" si="35"/>
        <v>507.19426751592357</v>
      </c>
      <c r="BS127" s="255">
        <f t="shared" si="44"/>
        <v>0</v>
      </c>
      <c r="BU127" s="252">
        <v>0</v>
      </c>
      <c r="BW127" s="9">
        <v>0</v>
      </c>
      <c r="BX127" s="9">
        <v>48</v>
      </c>
      <c r="BY127" s="9">
        <v>56</v>
      </c>
      <c r="BZ127" s="9">
        <v>59</v>
      </c>
      <c r="CA127" s="9">
        <v>65</v>
      </c>
      <c r="CB127" s="9">
        <v>64</v>
      </c>
      <c r="CC127" s="9">
        <v>65</v>
      </c>
      <c r="CD127" s="9">
        <v>66</v>
      </c>
      <c r="CE127" s="9">
        <v>66</v>
      </c>
      <c r="CF127" s="9">
        <v>63</v>
      </c>
      <c r="CG127" s="9">
        <v>0</v>
      </c>
      <c r="CH127" s="9">
        <v>0</v>
      </c>
      <c r="CI127" s="9">
        <v>0</v>
      </c>
      <c r="CJ127" s="9">
        <v>0</v>
      </c>
      <c r="CK127" s="23">
        <f t="shared" si="36"/>
        <v>528</v>
      </c>
      <c r="CL127">
        <f t="shared" si="37"/>
        <v>204</v>
      </c>
      <c r="CM127">
        <f t="shared" si="38"/>
        <v>0</v>
      </c>
      <c r="CN127" s="23">
        <f t="shared" si="39"/>
        <v>399</v>
      </c>
      <c r="CO127" s="176">
        <f t="shared" si="46"/>
        <v>129</v>
      </c>
      <c r="CQ127" s="23">
        <f t="shared" si="40"/>
        <v>423</v>
      </c>
      <c r="CR127" s="23">
        <f t="shared" si="41"/>
        <v>129</v>
      </c>
    </row>
    <row r="128" spans="1:96" ht="43.5">
      <c r="A128" t="str">
        <f t="shared" si="24"/>
        <v>461</v>
      </c>
      <c r="B128">
        <f t="shared" si="27"/>
        <v>461</v>
      </c>
      <c r="C128" s="14" t="s">
        <v>135</v>
      </c>
      <c r="D128" s="11"/>
      <c r="E128" s="9">
        <f>SUM(28.4135802469136*0.5)</f>
        <v>14.2067901234568</v>
      </c>
      <c r="F128" s="9">
        <v>29.404320987654302</v>
      </c>
      <c r="G128" s="9">
        <v>28.7777777777778</v>
      </c>
      <c r="H128" s="9">
        <v>29.098765432098801</v>
      </c>
      <c r="I128" s="9">
        <v>32.506172839506199</v>
      </c>
      <c r="J128" s="9">
        <v>32.660493827160501</v>
      </c>
      <c r="K128" s="9">
        <v>32.793209876543202</v>
      </c>
      <c r="L128" s="9">
        <v>31.466463414634099</v>
      </c>
      <c r="M128" s="9">
        <v>29.5</v>
      </c>
      <c r="N128" s="9">
        <v>22.109756097561</v>
      </c>
      <c r="O128" s="9">
        <v>25.173780487804901</v>
      </c>
      <c r="P128" s="9">
        <v>28.881097560975601</v>
      </c>
      <c r="Q128" s="9">
        <v>22.365853658536601</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c r="AO128" s="9">
        <v>0</v>
      </c>
      <c r="AP128" s="9">
        <v>0</v>
      </c>
      <c r="AQ128" s="9">
        <v>0</v>
      </c>
      <c r="AR128" s="9">
        <v>0</v>
      </c>
      <c r="AS128" s="9">
        <v>0</v>
      </c>
      <c r="AT128" s="9">
        <v>0</v>
      </c>
      <c r="AU128" s="9">
        <v>0</v>
      </c>
      <c r="AV128" s="9">
        <v>0</v>
      </c>
      <c r="AW128" s="9">
        <v>0</v>
      </c>
      <c r="AX128" s="9">
        <f t="shared" si="28"/>
        <v>376.89170618789535</v>
      </c>
      <c r="AY128" s="9">
        <f t="shared" si="29"/>
        <v>106.56203703703709</v>
      </c>
      <c r="AZ128" s="9">
        <f t="shared" si="30"/>
        <v>103.45701219512202</v>
      </c>
      <c r="BA128" s="9">
        <f t="shared" si="31"/>
        <v>209.41990740740752</v>
      </c>
      <c r="BB128" s="9">
        <f t="shared" si="32"/>
        <v>167.4717987804878</v>
      </c>
      <c r="BC128" s="19"/>
      <c r="BD128" s="9">
        <v>169</v>
      </c>
      <c r="BF128" s="252">
        <v>133</v>
      </c>
      <c r="BH128" s="252">
        <v>33</v>
      </c>
      <c r="BI128" s="252">
        <f t="shared" si="33"/>
        <v>33</v>
      </c>
      <c r="BJ128" s="252">
        <f t="shared" si="45"/>
        <v>358.94448208370983</v>
      </c>
      <c r="BK128" s="256">
        <f t="shared" si="43"/>
        <v>33</v>
      </c>
      <c r="BP128" s="252">
        <v>0</v>
      </c>
      <c r="BQ128" s="252">
        <f t="shared" si="34"/>
        <v>0</v>
      </c>
      <c r="BR128" s="256">
        <f t="shared" si="35"/>
        <v>358.94448208370983</v>
      </c>
      <c r="BS128" s="255">
        <f t="shared" si="44"/>
        <v>0</v>
      </c>
      <c r="BU128" s="252">
        <v>0</v>
      </c>
      <c r="BW128" s="9">
        <v>0</v>
      </c>
      <c r="BX128" s="9">
        <v>30</v>
      </c>
      <c r="BY128" s="9">
        <v>30</v>
      </c>
      <c r="BZ128" s="9">
        <v>30</v>
      </c>
      <c r="CA128" s="9">
        <v>30</v>
      </c>
      <c r="CB128" s="9">
        <v>34</v>
      </c>
      <c r="CC128" s="9">
        <v>34</v>
      </c>
      <c r="CD128" s="9">
        <v>34</v>
      </c>
      <c r="CE128" s="9">
        <v>27</v>
      </c>
      <c r="CF128" s="9">
        <v>27</v>
      </c>
      <c r="CG128" s="9">
        <v>24</v>
      </c>
      <c r="CH128" s="9">
        <v>21</v>
      </c>
      <c r="CI128" s="9">
        <v>21</v>
      </c>
      <c r="CJ128" s="9">
        <v>25</v>
      </c>
      <c r="CK128" s="23">
        <f t="shared" si="36"/>
        <v>352</v>
      </c>
      <c r="CL128">
        <f t="shared" si="37"/>
        <v>105</v>
      </c>
      <c r="CM128">
        <f t="shared" si="38"/>
        <v>91</v>
      </c>
      <c r="CN128" s="23">
        <f t="shared" si="39"/>
        <v>207</v>
      </c>
      <c r="CO128" s="176">
        <f t="shared" si="46"/>
        <v>145</v>
      </c>
      <c r="CQ128" s="23">
        <f t="shared" si="40"/>
        <v>222</v>
      </c>
      <c r="CR128" s="23">
        <f t="shared" si="41"/>
        <v>145</v>
      </c>
    </row>
    <row r="129" spans="1:96" ht="29.25">
      <c r="A129" t="str">
        <f t="shared" si="24"/>
        <v>462</v>
      </c>
      <c r="B129">
        <f t="shared" si="27"/>
        <v>462</v>
      </c>
      <c r="C129" s="14" t="s">
        <v>136</v>
      </c>
      <c r="D129" s="11"/>
      <c r="E129" s="9">
        <f>SUM(47.8934911242604*0.5)</f>
        <v>23.9467455621302</v>
      </c>
      <c r="F129" s="9">
        <v>55.532544378698198</v>
      </c>
      <c r="G129" s="9">
        <v>55.245562130177497</v>
      </c>
      <c r="H129" s="9">
        <v>55.698224852071</v>
      </c>
      <c r="I129" s="9">
        <v>64.594674556212993</v>
      </c>
      <c r="J129" s="9">
        <v>65.491124260354994</v>
      </c>
      <c r="K129" s="9">
        <v>61.3934911242604</v>
      </c>
      <c r="L129" s="9">
        <v>63.582840236686401</v>
      </c>
      <c r="M129" s="9">
        <v>65.606508875739706</v>
      </c>
      <c r="N129" s="9">
        <v>52.923076923076898</v>
      </c>
      <c r="O129" s="9">
        <v>39.630177514792898</v>
      </c>
      <c r="P129" s="9">
        <v>41.760355029585803</v>
      </c>
      <c r="Q129" s="9">
        <v>30.7544378698225</v>
      </c>
      <c r="R129" s="9">
        <v>0</v>
      </c>
      <c r="S129" s="9">
        <v>0</v>
      </c>
      <c r="T129" s="9">
        <v>0</v>
      </c>
      <c r="U129" s="9">
        <v>0</v>
      </c>
      <c r="V129" s="9">
        <v>0</v>
      </c>
      <c r="W129" s="9">
        <v>0</v>
      </c>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9">
        <v>0</v>
      </c>
      <c r="AO129" s="9">
        <v>0</v>
      </c>
      <c r="AP129" s="9">
        <v>0</v>
      </c>
      <c r="AQ129" s="9">
        <v>0</v>
      </c>
      <c r="AR129" s="9">
        <v>0</v>
      </c>
      <c r="AS129" s="9">
        <v>0</v>
      </c>
      <c r="AT129" s="9">
        <v>0</v>
      </c>
      <c r="AU129" s="9">
        <v>0</v>
      </c>
      <c r="AV129" s="9">
        <v>0</v>
      </c>
      <c r="AW129" s="9">
        <v>0</v>
      </c>
      <c r="AX129" s="9">
        <f t="shared" si="28"/>
        <v>709.96775147928997</v>
      </c>
      <c r="AY129" s="9">
        <f t="shared" si="29"/>
        <v>199.94423076923076</v>
      </c>
      <c r="AZ129" s="9">
        <f t="shared" si="30"/>
        <v>173.32144970414203</v>
      </c>
      <c r="BA129" s="9">
        <f t="shared" si="31"/>
        <v>400.99748520710057</v>
      </c>
      <c r="BB129" s="9">
        <f t="shared" si="32"/>
        <v>308.97026627218941</v>
      </c>
      <c r="BC129" s="19"/>
      <c r="BD129" s="9">
        <v>215</v>
      </c>
      <c r="BF129" s="252">
        <v>190</v>
      </c>
      <c r="BH129" s="252">
        <v>49</v>
      </c>
      <c r="BI129" s="252">
        <f t="shared" si="33"/>
        <v>49</v>
      </c>
      <c r="BJ129" s="252">
        <f t="shared" si="45"/>
        <v>676.15976331360946</v>
      </c>
      <c r="BK129" s="256">
        <f t="shared" si="43"/>
        <v>49</v>
      </c>
      <c r="BP129" s="252" t="s">
        <v>239</v>
      </c>
      <c r="BQ129" s="252" t="str">
        <f t="shared" si="34"/>
        <v/>
      </c>
      <c r="BR129" s="256" t="str">
        <f t="shared" si="35"/>
        <v/>
      </c>
      <c r="BS129" s="255">
        <f t="shared" si="44"/>
        <v>60.729903052689608</v>
      </c>
      <c r="BU129" s="252">
        <v>0</v>
      </c>
      <c r="BW129" s="9">
        <v>0</v>
      </c>
      <c r="BX129" s="9">
        <v>48</v>
      </c>
      <c r="BY129" s="9">
        <v>56</v>
      </c>
      <c r="BZ129" s="9">
        <v>56</v>
      </c>
      <c r="CA129" s="9">
        <v>56</v>
      </c>
      <c r="CB129" s="9">
        <v>66</v>
      </c>
      <c r="CC129" s="9">
        <v>65</v>
      </c>
      <c r="CD129" s="9">
        <v>66</v>
      </c>
      <c r="CE129" s="9">
        <v>58</v>
      </c>
      <c r="CF129" s="9">
        <v>59</v>
      </c>
      <c r="CG129" s="9">
        <v>54</v>
      </c>
      <c r="CH129" s="9">
        <v>52</v>
      </c>
      <c r="CI129" s="9">
        <v>36</v>
      </c>
      <c r="CJ129" s="9">
        <v>29</v>
      </c>
      <c r="CK129" s="23">
        <f t="shared" si="36"/>
        <v>677</v>
      </c>
      <c r="CL129">
        <f t="shared" si="37"/>
        <v>192</v>
      </c>
      <c r="CM129">
        <f t="shared" si="38"/>
        <v>171</v>
      </c>
      <c r="CN129" s="23">
        <f t="shared" si="39"/>
        <v>389</v>
      </c>
      <c r="CO129" s="176">
        <f t="shared" si="46"/>
        <v>288</v>
      </c>
      <c r="CQ129" s="23">
        <f t="shared" si="40"/>
        <v>413</v>
      </c>
      <c r="CR129" s="23">
        <f t="shared" si="41"/>
        <v>288</v>
      </c>
    </row>
    <row r="130" spans="1:96" ht="29.25">
      <c r="A130" t="str">
        <f t="shared" si="24"/>
        <v>463</v>
      </c>
      <c r="B130">
        <f t="shared" si="27"/>
        <v>463</v>
      </c>
      <c r="C130" s="14" t="s">
        <v>137</v>
      </c>
      <c r="D130" s="11"/>
      <c r="E130" s="9">
        <f>SUM(46.4203821656051*0.5)</f>
        <v>23.210191082802549</v>
      </c>
      <c r="F130" s="9">
        <v>52.103124999999999</v>
      </c>
      <c r="G130" s="9">
        <v>53.725000000000001</v>
      </c>
      <c r="H130" s="9">
        <v>55.384374999999999</v>
      </c>
      <c r="I130" s="9">
        <v>57.840625000000003</v>
      </c>
      <c r="J130" s="9">
        <v>60.725000000000001</v>
      </c>
      <c r="K130" s="9">
        <v>61.712499999999999</v>
      </c>
      <c r="L130" s="9">
        <v>61.059375000000003</v>
      </c>
      <c r="M130" s="9">
        <v>57.137500000000003</v>
      </c>
      <c r="N130" s="9">
        <v>46.340625000000003</v>
      </c>
      <c r="O130" s="9">
        <v>33.481250000000003</v>
      </c>
      <c r="P130" s="9">
        <v>38.512500000000003</v>
      </c>
      <c r="Q130" s="9">
        <v>36.912500000000001</v>
      </c>
      <c r="R130" s="9">
        <v>0</v>
      </c>
      <c r="S130" s="9">
        <v>0</v>
      </c>
      <c r="T130" s="9">
        <v>0</v>
      </c>
      <c r="U130" s="9">
        <v>0</v>
      </c>
      <c r="V130" s="9">
        <v>0</v>
      </c>
      <c r="W130" s="9">
        <v>0</v>
      </c>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9">
        <v>0</v>
      </c>
      <c r="AO130" s="9">
        <v>0</v>
      </c>
      <c r="AP130" s="9">
        <v>0</v>
      </c>
      <c r="AQ130" s="9">
        <v>0</v>
      </c>
      <c r="AR130" s="9">
        <v>0</v>
      </c>
      <c r="AS130" s="9">
        <v>0</v>
      </c>
      <c r="AT130" s="9">
        <v>0</v>
      </c>
      <c r="AU130" s="9">
        <v>0</v>
      </c>
      <c r="AV130" s="9">
        <v>0</v>
      </c>
      <c r="AW130" s="9">
        <v>0</v>
      </c>
      <c r="AX130" s="9">
        <f t="shared" si="28"/>
        <v>670.05179438694279</v>
      </c>
      <c r="AY130" s="9">
        <f t="shared" si="29"/>
        <v>193.64382563694267</v>
      </c>
      <c r="AZ130" s="9">
        <f t="shared" si="30"/>
        <v>163.00921875000003</v>
      </c>
      <c r="BA130" s="9">
        <f t="shared" si="31"/>
        <v>382.9358568869427</v>
      </c>
      <c r="BB130" s="9">
        <f t="shared" si="32"/>
        <v>287.11593750000003</v>
      </c>
      <c r="BC130" s="19"/>
      <c r="BD130" s="9">
        <v>257</v>
      </c>
      <c r="BF130" s="252">
        <v>262</v>
      </c>
      <c r="BH130" s="252">
        <v>49</v>
      </c>
      <c r="BI130" s="252">
        <f t="shared" si="33"/>
        <v>49</v>
      </c>
      <c r="BJ130" s="252">
        <f t="shared" si="45"/>
        <v>638.14456608280261</v>
      </c>
      <c r="BK130" s="256">
        <f t="shared" si="43"/>
        <v>49</v>
      </c>
      <c r="BP130" s="252">
        <v>5</v>
      </c>
      <c r="BQ130" s="252">
        <f t="shared" si="34"/>
        <v>5</v>
      </c>
      <c r="BR130" s="256">
        <f t="shared" si="35"/>
        <v>638.14456608280261</v>
      </c>
      <c r="BS130" s="255">
        <f t="shared" si="44"/>
        <v>5</v>
      </c>
      <c r="BU130" s="252">
        <v>34</v>
      </c>
      <c r="BW130" s="9">
        <v>0</v>
      </c>
      <c r="BX130" s="9">
        <v>46</v>
      </c>
      <c r="BY130" s="9">
        <v>57</v>
      </c>
      <c r="BZ130" s="9">
        <v>57</v>
      </c>
      <c r="CA130" s="9">
        <v>60</v>
      </c>
      <c r="CB130" s="9">
        <v>63</v>
      </c>
      <c r="CC130" s="9">
        <v>69</v>
      </c>
      <c r="CD130" s="9">
        <v>65</v>
      </c>
      <c r="CE130" s="9">
        <v>68</v>
      </c>
      <c r="CF130" s="9">
        <v>67</v>
      </c>
      <c r="CG130" s="9">
        <v>50</v>
      </c>
      <c r="CH130" s="9">
        <v>43</v>
      </c>
      <c r="CI130" s="9">
        <v>35</v>
      </c>
      <c r="CJ130" s="9">
        <v>39</v>
      </c>
      <c r="CK130" s="23">
        <f t="shared" si="36"/>
        <v>696</v>
      </c>
      <c r="CL130">
        <f t="shared" si="37"/>
        <v>197</v>
      </c>
      <c r="CM130">
        <f t="shared" si="38"/>
        <v>167</v>
      </c>
      <c r="CN130" s="23">
        <f t="shared" si="39"/>
        <v>394</v>
      </c>
      <c r="CO130" s="176">
        <f t="shared" si="46"/>
        <v>302</v>
      </c>
      <c r="CQ130" s="23">
        <f t="shared" si="40"/>
        <v>417</v>
      </c>
      <c r="CR130" s="23">
        <f t="shared" si="41"/>
        <v>302</v>
      </c>
    </row>
    <row r="131" spans="1:96" ht="29.25">
      <c r="A131" t="str">
        <f t="shared" si="24"/>
        <v>464</v>
      </c>
      <c r="B131">
        <f t="shared" si="27"/>
        <v>464</v>
      </c>
      <c r="C131" s="14" t="s">
        <v>138</v>
      </c>
      <c r="D131" s="11"/>
      <c r="E131" s="9">
        <f>SUM(63.3975903614458*0.5)</f>
        <v>31.6987951807229</v>
      </c>
      <c r="F131" s="9">
        <v>62.939759036144601</v>
      </c>
      <c r="G131" s="9">
        <v>66.638554216867504</v>
      </c>
      <c r="H131" s="9">
        <v>50.355421686747</v>
      </c>
      <c r="I131" s="9">
        <v>44.153614457831303</v>
      </c>
      <c r="J131" s="9">
        <v>51.090361445783103</v>
      </c>
      <c r="K131" s="9">
        <v>50.340361445783103</v>
      </c>
      <c r="L131" s="9">
        <v>31.680722891566301</v>
      </c>
      <c r="M131" s="9">
        <v>18.659638554216901</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9">
        <v>0</v>
      </c>
      <c r="AO131" s="9">
        <v>0</v>
      </c>
      <c r="AP131" s="9">
        <v>0</v>
      </c>
      <c r="AQ131" s="9">
        <v>0</v>
      </c>
      <c r="AR131" s="9">
        <v>0</v>
      </c>
      <c r="AS131" s="9">
        <v>0</v>
      </c>
      <c r="AT131" s="9">
        <v>0</v>
      </c>
      <c r="AU131" s="9">
        <v>0</v>
      </c>
      <c r="AV131" s="9">
        <v>0</v>
      </c>
      <c r="AW131" s="9">
        <v>0</v>
      </c>
      <c r="AX131" s="9">
        <f t="shared" si="28"/>
        <v>427.93509036144587</v>
      </c>
      <c r="AY131" s="9">
        <f t="shared" si="29"/>
        <v>222.21415662650614</v>
      </c>
      <c r="AZ131" s="9">
        <f t="shared" si="30"/>
        <v>0</v>
      </c>
      <c r="BA131" s="9">
        <f t="shared" si="31"/>
        <v>375.07771084337355</v>
      </c>
      <c r="BB131" s="9">
        <f t="shared" si="32"/>
        <v>52.857379518072364</v>
      </c>
      <c r="BC131" s="19"/>
      <c r="BD131" s="9">
        <v>142</v>
      </c>
      <c r="BF131" s="252">
        <v>161</v>
      </c>
      <c r="BH131" s="252">
        <v>41</v>
      </c>
      <c r="BI131" s="252">
        <f t="shared" si="33"/>
        <v>41</v>
      </c>
      <c r="BJ131" s="252">
        <f t="shared" si="45"/>
        <v>407.55722891566273</v>
      </c>
      <c r="BK131" s="256">
        <f t="shared" si="43"/>
        <v>41</v>
      </c>
      <c r="BP131" s="252" t="s">
        <v>239</v>
      </c>
      <c r="BQ131" s="252" t="str">
        <f t="shared" si="34"/>
        <v/>
      </c>
      <c r="BR131" s="256" t="str">
        <f t="shared" si="35"/>
        <v/>
      </c>
      <c r="BS131" s="255">
        <f t="shared" si="44"/>
        <v>36.605122551475027</v>
      </c>
      <c r="BU131" s="252">
        <v>20</v>
      </c>
      <c r="BW131" s="9">
        <v>0</v>
      </c>
      <c r="BX131" s="9">
        <v>64</v>
      </c>
      <c r="BY131" s="9">
        <v>74</v>
      </c>
      <c r="BZ131" s="9">
        <v>78</v>
      </c>
      <c r="CA131" s="9">
        <v>73</v>
      </c>
      <c r="CB131" s="9">
        <v>53</v>
      </c>
      <c r="CC131" s="9">
        <v>55</v>
      </c>
      <c r="CD131" s="9">
        <v>60</v>
      </c>
      <c r="CE131" s="9">
        <v>42</v>
      </c>
      <c r="CF131" s="9">
        <v>35</v>
      </c>
      <c r="CG131" s="9">
        <v>0</v>
      </c>
      <c r="CH131" s="9">
        <v>0</v>
      </c>
      <c r="CI131" s="9">
        <v>0</v>
      </c>
      <c r="CJ131" s="9">
        <v>0</v>
      </c>
      <c r="CK131" s="23">
        <f t="shared" si="36"/>
        <v>502</v>
      </c>
      <c r="CL131">
        <f t="shared" si="37"/>
        <v>257</v>
      </c>
      <c r="CM131">
        <f t="shared" si="38"/>
        <v>0</v>
      </c>
      <c r="CN131" s="23">
        <f t="shared" si="39"/>
        <v>425</v>
      </c>
      <c r="CO131" s="176">
        <f t="shared" si="46"/>
        <v>77</v>
      </c>
      <c r="CQ131" s="23">
        <f t="shared" si="40"/>
        <v>457</v>
      </c>
      <c r="CR131" s="23">
        <f t="shared" si="41"/>
        <v>77</v>
      </c>
    </row>
    <row r="132" spans="1:96" ht="29.25">
      <c r="A132" t="str">
        <f t="shared" ref="A132:A168" si="47">RIGHT(C132,3)</f>
        <v>465</v>
      </c>
      <c r="B132">
        <f t="shared" si="27"/>
        <v>465</v>
      </c>
      <c r="C132" s="14" t="s">
        <v>139</v>
      </c>
      <c r="D132" s="11"/>
      <c r="E132" s="9">
        <f>SUM(21.9938650306748*0.5)</f>
        <v>10.9969325153374</v>
      </c>
      <c r="F132" s="9">
        <v>17.343558282208601</v>
      </c>
      <c r="G132" s="9">
        <v>19.150306748466299</v>
      </c>
      <c r="H132" s="9">
        <v>16.981595092024499</v>
      </c>
      <c r="I132" s="9">
        <v>23.340490797546</v>
      </c>
      <c r="J132" s="9">
        <v>14.5858895705521</v>
      </c>
      <c r="K132" s="9">
        <v>11.4141104294479</v>
      </c>
      <c r="L132" s="9">
        <v>23.5460122699387</v>
      </c>
      <c r="M132" s="9">
        <v>15.460122699386501</v>
      </c>
      <c r="N132" s="9">
        <v>14.668711656441699</v>
      </c>
      <c r="O132" s="9">
        <v>11.965692087866101</v>
      </c>
      <c r="P132" s="9">
        <v>8.7390942925218393</v>
      </c>
      <c r="Q132" s="9">
        <v>13.343558282208599</v>
      </c>
      <c r="R132" s="9">
        <v>0</v>
      </c>
      <c r="S132" s="9">
        <v>0</v>
      </c>
      <c r="T132" s="9">
        <v>0</v>
      </c>
      <c r="U132" s="9">
        <v>0</v>
      </c>
      <c r="V132" s="9">
        <v>0</v>
      </c>
      <c r="W132" s="9">
        <v>0</v>
      </c>
      <c r="X132" s="9">
        <v>0</v>
      </c>
      <c r="Y132" s="9">
        <v>0</v>
      </c>
      <c r="Z132" s="9">
        <v>0</v>
      </c>
      <c r="AA132" s="9">
        <v>0</v>
      </c>
      <c r="AB132" s="9">
        <v>0</v>
      </c>
      <c r="AC132" s="9">
        <v>0</v>
      </c>
      <c r="AD132" s="9">
        <v>0</v>
      </c>
      <c r="AE132" s="9">
        <v>0</v>
      </c>
      <c r="AF132" s="9">
        <v>0</v>
      </c>
      <c r="AG132" s="9">
        <v>0</v>
      </c>
      <c r="AH132" s="9">
        <v>0</v>
      </c>
      <c r="AI132" s="9">
        <v>0</v>
      </c>
      <c r="AJ132" s="9">
        <v>0</v>
      </c>
      <c r="AK132" s="9">
        <v>0</v>
      </c>
      <c r="AL132" s="9">
        <v>0</v>
      </c>
      <c r="AM132" s="9">
        <v>0</v>
      </c>
      <c r="AN132" s="9">
        <v>0</v>
      </c>
      <c r="AO132" s="9">
        <v>0</v>
      </c>
      <c r="AP132" s="9">
        <v>0</v>
      </c>
      <c r="AQ132" s="9">
        <v>0</v>
      </c>
      <c r="AR132" s="9">
        <v>0</v>
      </c>
      <c r="AS132" s="9">
        <v>0</v>
      </c>
      <c r="AT132" s="9">
        <v>0</v>
      </c>
      <c r="AU132" s="9">
        <v>0</v>
      </c>
      <c r="AV132" s="9">
        <v>0</v>
      </c>
      <c r="AW132" s="9">
        <v>0</v>
      </c>
      <c r="AX132" s="9">
        <f t="shared" si="28"/>
        <v>211.61287846014352</v>
      </c>
      <c r="AY132" s="9">
        <f t="shared" si="29"/>
        <v>67.696012269938649</v>
      </c>
      <c r="AZ132" s="9">
        <f t="shared" si="30"/>
        <v>51.152909134990146</v>
      </c>
      <c r="BA132" s="9">
        <f t="shared" si="31"/>
        <v>119.50352760736195</v>
      </c>
      <c r="BB132" s="9">
        <f t="shared" si="32"/>
        <v>92.109350852781631</v>
      </c>
      <c r="BC132" s="19"/>
      <c r="BD132" s="9">
        <v>126</v>
      </c>
      <c r="BF132" s="252">
        <v>125</v>
      </c>
      <c r="BH132" s="252">
        <v>16</v>
      </c>
      <c r="BI132" s="252">
        <f t="shared" si="33"/>
        <v>16</v>
      </c>
      <c r="BJ132" s="252">
        <f t="shared" si="45"/>
        <v>201.5360747239462</v>
      </c>
      <c r="BK132" s="256">
        <f t="shared" ref="BK132:BK161" si="48">IFERROR(BH132*1,SUM(E132:Q132)*$BJ$179)</f>
        <v>16</v>
      </c>
      <c r="BP132" s="252">
        <v>11</v>
      </c>
      <c r="BQ132" s="252">
        <f t="shared" si="34"/>
        <v>11</v>
      </c>
      <c r="BR132" s="256">
        <f t="shared" si="35"/>
        <v>201.5360747239462</v>
      </c>
      <c r="BS132" s="255">
        <f t="shared" ref="BS132:BS161" si="49">IFERROR(BP132*1,SUM(E132:Q132)*$BR$179)</f>
        <v>11</v>
      </c>
      <c r="BU132" s="252">
        <v>0</v>
      </c>
      <c r="BW132" s="9">
        <v>0</v>
      </c>
      <c r="BX132" s="9">
        <v>21</v>
      </c>
      <c r="BY132" s="9">
        <v>20</v>
      </c>
      <c r="BZ132" s="9">
        <v>15</v>
      </c>
      <c r="CA132" s="9">
        <v>21</v>
      </c>
      <c r="CB132" s="9">
        <v>21</v>
      </c>
      <c r="CC132" s="9">
        <v>20</v>
      </c>
      <c r="CD132" s="9">
        <v>18</v>
      </c>
      <c r="CE132" s="9">
        <v>16</v>
      </c>
      <c r="CF132" s="9">
        <v>20</v>
      </c>
      <c r="CG132" s="9">
        <v>10</v>
      </c>
      <c r="CH132" s="9">
        <v>13</v>
      </c>
      <c r="CI132" s="9">
        <v>17</v>
      </c>
      <c r="CJ132" s="9">
        <v>12</v>
      </c>
      <c r="CK132" s="23">
        <f t="shared" si="36"/>
        <v>213.5</v>
      </c>
      <c r="CL132">
        <f t="shared" si="37"/>
        <v>66.5</v>
      </c>
      <c r="CM132">
        <f t="shared" si="38"/>
        <v>52</v>
      </c>
      <c r="CN132" s="23">
        <f t="shared" si="39"/>
        <v>125.5</v>
      </c>
      <c r="CO132" s="176">
        <f t="shared" si="46"/>
        <v>88</v>
      </c>
      <c r="CQ132" s="23">
        <f t="shared" si="40"/>
        <v>136</v>
      </c>
      <c r="CR132" s="23">
        <f t="shared" si="41"/>
        <v>88</v>
      </c>
    </row>
    <row r="133" spans="1:96" ht="29.25">
      <c r="A133" t="str">
        <f t="shared" si="47"/>
        <v>466</v>
      </c>
      <c r="B133">
        <f t="shared" ref="B133:B167" si="50">A133*1</f>
        <v>466</v>
      </c>
      <c r="C133" s="14" t="s">
        <v>140</v>
      </c>
      <c r="D133" s="11"/>
      <c r="E133" s="9">
        <f>SUM(0*0.5)</f>
        <v>0</v>
      </c>
      <c r="F133" s="9">
        <v>0</v>
      </c>
      <c r="G133" s="9">
        <v>0</v>
      </c>
      <c r="H133" s="9">
        <v>0</v>
      </c>
      <c r="I133" s="9">
        <v>0</v>
      </c>
      <c r="J133" s="9">
        <v>0</v>
      </c>
      <c r="K133" s="9">
        <v>0</v>
      </c>
      <c r="L133" s="9">
        <v>0</v>
      </c>
      <c r="M133" s="9">
        <v>0</v>
      </c>
      <c r="N133" s="9">
        <v>57.349397590361399</v>
      </c>
      <c r="O133" s="9">
        <v>95.810240963855406</v>
      </c>
      <c r="P133" s="9">
        <v>115.27409638554199</v>
      </c>
      <c r="Q133" s="9">
        <v>150.59939759036101</v>
      </c>
      <c r="R133" s="9">
        <v>0</v>
      </c>
      <c r="S133" s="9">
        <v>0</v>
      </c>
      <c r="T133" s="9">
        <v>0</v>
      </c>
      <c r="U133" s="9">
        <v>0</v>
      </c>
      <c r="V133" s="9">
        <v>0</v>
      </c>
      <c r="W133" s="9">
        <v>0</v>
      </c>
      <c r="X133" s="9">
        <v>0</v>
      </c>
      <c r="Y133" s="9">
        <v>0</v>
      </c>
      <c r="Z133" s="9">
        <v>0</v>
      </c>
      <c r="AA133" s="9">
        <v>0</v>
      </c>
      <c r="AB133" s="9">
        <v>0</v>
      </c>
      <c r="AC133" s="9">
        <v>0</v>
      </c>
      <c r="AD133" s="9">
        <v>0</v>
      </c>
      <c r="AE133" s="9">
        <v>0</v>
      </c>
      <c r="AF133" s="9">
        <v>0</v>
      </c>
      <c r="AG133" s="9">
        <v>0</v>
      </c>
      <c r="AH133" s="9">
        <v>0</v>
      </c>
      <c r="AI133" s="9">
        <v>0</v>
      </c>
      <c r="AJ133" s="9">
        <v>0</v>
      </c>
      <c r="AK133" s="9">
        <v>0</v>
      </c>
      <c r="AL133" s="9">
        <v>0</v>
      </c>
      <c r="AM133" s="9">
        <v>0</v>
      </c>
      <c r="AN133" s="9">
        <v>0</v>
      </c>
      <c r="AO133" s="9">
        <v>0</v>
      </c>
      <c r="AP133" s="9">
        <v>0</v>
      </c>
      <c r="AQ133" s="9">
        <v>0</v>
      </c>
      <c r="AR133" s="9">
        <v>0</v>
      </c>
      <c r="AS133" s="9">
        <v>0</v>
      </c>
      <c r="AT133" s="9">
        <v>0</v>
      </c>
      <c r="AU133" s="9">
        <v>0</v>
      </c>
      <c r="AV133" s="9">
        <v>0</v>
      </c>
      <c r="AW133" s="9">
        <v>0</v>
      </c>
      <c r="AX133" s="9">
        <f t="shared" ref="AX133:AX176" si="51">SUM(E133:AW133)*1.05</f>
        <v>439.98478915662582</v>
      </c>
      <c r="AY133" s="9">
        <f t="shared" ref="AY133:AY176" si="52">SUM(E133:H133)*1.05</f>
        <v>0</v>
      </c>
      <c r="AZ133" s="9">
        <f t="shared" ref="AZ133:AZ176" si="53">SUM(AT133:AW133,AM133:AP133,AD133:AG133,U133:X133,N133:Q133)*1.05</f>
        <v>439.98478915662582</v>
      </c>
      <c r="BA133" s="9">
        <f t="shared" ref="BA133:BA176" si="54">SUM(E133,AQ133,AH133:AJ133,Y133:AA133,R133,F133:K133)*1.05</f>
        <v>0</v>
      </c>
      <c r="BB133" s="9">
        <f t="shared" ref="BB133:BB176" si="55">SUM(AR133:AW133,AK133:AP133,AB133:AG133,S133:X133,L133:Q133)*1.05</f>
        <v>439.98478915662582</v>
      </c>
      <c r="BC133" s="19"/>
      <c r="BD133" s="9">
        <v>321</v>
      </c>
      <c r="BF133" s="252">
        <v>307</v>
      </c>
      <c r="BH133" s="252">
        <v>49</v>
      </c>
      <c r="BI133" s="252">
        <f t="shared" ref="BI133:BI176" si="56">IFERROR(BH133*1,"")</f>
        <v>49</v>
      </c>
      <c r="BJ133" s="252">
        <f t="shared" si="45"/>
        <v>419.03313253011981</v>
      </c>
      <c r="BK133" s="256">
        <f t="shared" si="48"/>
        <v>49</v>
      </c>
      <c r="BP133" s="252">
        <v>0</v>
      </c>
      <c r="BQ133" s="252">
        <f t="shared" ref="BQ133:BQ176" si="57">IFERROR(BP133*1,"")</f>
        <v>0</v>
      </c>
      <c r="BR133" s="256">
        <f t="shared" ref="BR133:BR176" si="58">IFERROR(IF(BP133=BQ133,SUM(E133:Q133),""),"")</f>
        <v>419.03313253011981</v>
      </c>
      <c r="BS133" s="255">
        <f t="shared" si="49"/>
        <v>0</v>
      </c>
      <c r="BU133" s="252">
        <v>0</v>
      </c>
      <c r="BW133" s="9">
        <v>0</v>
      </c>
      <c r="BX133" s="9">
        <v>0</v>
      </c>
      <c r="BY133" s="9">
        <v>0</v>
      </c>
      <c r="BZ133" s="9">
        <v>0</v>
      </c>
      <c r="CA133" s="9">
        <v>0</v>
      </c>
      <c r="CB133" s="9">
        <v>0</v>
      </c>
      <c r="CC133" s="9">
        <v>0</v>
      </c>
      <c r="CD133" s="9">
        <v>0</v>
      </c>
      <c r="CE133" s="9">
        <v>0</v>
      </c>
      <c r="CF133" s="9">
        <v>0</v>
      </c>
      <c r="CG133" s="9">
        <v>54</v>
      </c>
      <c r="CH133" s="9">
        <v>100</v>
      </c>
      <c r="CI133" s="9">
        <v>154</v>
      </c>
      <c r="CJ133" s="9">
        <v>254</v>
      </c>
      <c r="CK133" s="23">
        <f t="shared" ref="CK133:CK176" si="59">SUM(BY133,BZ133,CA133,CB133,CC133,CD133,CE133,CF133,CG133,CH133,CI133,CJ133) + (BX133*0.5) + (SUM(AH133:AW133)*0.25)</f>
        <v>562</v>
      </c>
      <c r="CL133">
        <f t="shared" ref="CL133:CL176" si="60">SUM(BY133:CA133) +( BX133*0.5)</f>
        <v>0</v>
      </c>
      <c r="CM133">
        <f t="shared" ref="CM133:CM176" si="61">SUM(CG133:CJ133) + (SUM(AM133:AP133,AT133:AW133)*0.25)</f>
        <v>562</v>
      </c>
      <c r="CN133" s="23">
        <f t="shared" ref="CN133:CN176" si="62">SUM(BY133:CD133)+(BX133*0.5)+((AJ133+AQ133)*0.25)</f>
        <v>0</v>
      </c>
      <c r="CO133" s="176">
        <f t="shared" si="46"/>
        <v>562</v>
      </c>
      <c r="CQ133" s="23">
        <f t="shared" ref="CQ133:CQ176" si="63">SUM(BX133:CD133) + ((AJ133+AQ133)*0.25)</f>
        <v>0</v>
      </c>
      <c r="CR133" s="23">
        <f t="shared" ref="CR133:CR176" si="64">SUM(CE133:CJ133) + (SUM(AK133:AP133,AR133:AW133)*0.25)</f>
        <v>562</v>
      </c>
    </row>
    <row r="134" spans="1:96" ht="43.5">
      <c r="A134" t="str">
        <f t="shared" si="47"/>
        <v>468</v>
      </c>
      <c r="B134">
        <f t="shared" si="50"/>
        <v>468</v>
      </c>
      <c r="C134" s="14" t="s">
        <v>141</v>
      </c>
      <c r="D134" s="11"/>
      <c r="E134" s="9">
        <f t="shared" ref="E134:E136" si="65">SUM(0*0.5)</f>
        <v>0</v>
      </c>
      <c r="F134" s="9">
        <v>0</v>
      </c>
      <c r="G134" s="9">
        <v>0</v>
      </c>
      <c r="H134" s="9">
        <v>0</v>
      </c>
      <c r="I134" s="9">
        <v>16.851449275362299</v>
      </c>
      <c r="J134" s="9">
        <v>44.471014492753604</v>
      </c>
      <c r="K134" s="9">
        <v>57.634057971014499</v>
      </c>
      <c r="L134" s="9">
        <v>47.318840579710098</v>
      </c>
      <c r="M134" s="9">
        <v>44.101449275362299</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9">
        <v>0</v>
      </c>
      <c r="AF134" s="9">
        <v>0</v>
      </c>
      <c r="AG134" s="9">
        <v>0</v>
      </c>
      <c r="AH134" s="9">
        <v>0</v>
      </c>
      <c r="AI134" s="9">
        <v>0</v>
      </c>
      <c r="AJ134" s="9">
        <v>0</v>
      </c>
      <c r="AK134" s="9">
        <v>0</v>
      </c>
      <c r="AL134" s="9">
        <v>0</v>
      </c>
      <c r="AM134" s="9">
        <v>0</v>
      </c>
      <c r="AN134" s="9">
        <v>0</v>
      </c>
      <c r="AO134" s="9">
        <v>0</v>
      </c>
      <c r="AP134" s="9">
        <v>0</v>
      </c>
      <c r="AQ134" s="9">
        <v>0</v>
      </c>
      <c r="AR134" s="9">
        <v>0</v>
      </c>
      <c r="AS134" s="9">
        <v>0</v>
      </c>
      <c r="AT134" s="9">
        <v>0</v>
      </c>
      <c r="AU134" s="9">
        <v>0</v>
      </c>
      <c r="AV134" s="9">
        <v>0</v>
      </c>
      <c r="AW134" s="9">
        <v>0</v>
      </c>
      <c r="AX134" s="9">
        <f t="shared" si="51"/>
        <v>220.89565217391296</v>
      </c>
      <c r="AY134" s="9">
        <f t="shared" si="52"/>
        <v>0</v>
      </c>
      <c r="AZ134" s="9">
        <f t="shared" si="53"/>
        <v>0</v>
      </c>
      <c r="BA134" s="9">
        <f t="shared" si="54"/>
        <v>124.90434782608693</v>
      </c>
      <c r="BB134" s="9">
        <f t="shared" si="55"/>
        <v>95.991304347826016</v>
      </c>
      <c r="BC134" s="19"/>
      <c r="BD134" s="9">
        <v>151</v>
      </c>
      <c r="BF134" s="252">
        <v>86</v>
      </c>
      <c r="BH134" s="252">
        <v>24</v>
      </c>
      <c r="BI134" s="252">
        <f t="shared" si="56"/>
        <v>24</v>
      </c>
      <c r="BJ134" s="252">
        <f t="shared" si="45"/>
        <v>210.37681159420282</v>
      </c>
      <c r="BK134" s="256">
        <f t="shared" si="48"/>
        <v>24</v>
      </c>
      <c r="BP134" s="252">
        <v>0</v>
      </c>
      <c r="BQ134" s="252">
        <f t="shared" si="57"/>
        <v>0</v>
      </c>
      <c r="BR134" s="256">
        <f t="shared" si="58"/>
        <v>210.37681159420282</v>
      </c>
      <c r="BS134" s="255">
        <f t="shared" si="49"/>
        <v>0</v>
      </c>
      <c r="BU134" s="252">
        <v>0</v>
      </c>
      <c r="BW134" s="9">
        <v>0</v>
      </c>
      <c r="BX134" s="9">
        <v>14</v>
      </c>
      <c r="BY134" s="9">
        <v>11</v>
      </c>
      <c r="BZ134" s="9">
        <v>22</v>
      </c>
      <c r="CA134" s="9">
        <v>22</v>
      </c>
      <c r="CB134" s="9">
        <v>21</v>
      </c>
      <c r="CC134" s="9">
        <v>33</v>
      </c>
      <c r="CD134" s="9">
        <v>60</v>
      </c>
      <c r="CE134" s="9">
        <v>52</v>
      </c>
      <c r="CF134" s="9">
        <v>45</v>
      </c>
      <c r="CG134" s="9">
        <v>0</v>
      </c>
      <c r="CH134" s="9">
        <v>0</v>
      </c>
      <c r="CI134" s="9">
        <v>0</v>
      </c>
      <c r="CJ134" s="9">
        <v>0</v>
      </c>
      <c r="CK134" s="23">
        <f t="shared" si="59"/>
        <v>273</v>
      </c>
      <c r="CL134">
        <f t="shared" si="60"/>
        <v>62</v>
      </c>
      <c r="CM134">
        <f t="shared" si="61"/>
        <v>0</v>
      </c>
      <c r="CN134" s="23">
        <f t="shared" si="62"/>
        <v>176</v>
      </c>
      <c r="CO134" s="176">
        <f t="shared" si="46"/>
        <v>97</v>
      </c>
      <c r="CQ134" s="23">
        <f t="shared" si="63"/>
        <v>183</v>
      </c>
      <c r="CR134" s="23">
        <f t="shared" si="64"/>
        <v>97</v>
      </c>
    </row>
    <row r="135" spans="1:96" ht="29.25">
      <c r="A135" t="str">
        <f t="shared" si="47"/>
        <v>469</v>
      </c>
      <c r="B135">
        <f t="shared" si="50"/>
        <v>469</v>
      </c>
      <c r="C135" s="14" t="s">
        <v>142</v>
      </c>
      <c r="D135" s="11"/>
      <c r="E135" s="9">
        <f t="shared" si="65"/>
        <v>0</v>
      </c>
      <c r="F135" s="9">
        <v>0</v>
      </c>
      <c r="G135" s="9">
        <v>0</v>
      </c>
      <c r="H135" s="9">
        <v>0</v>
      </c>
      <c r="I135" s="9">
        <v>0</v>
      </c>
      <c r="J135" s="9">
        <v>0</v>
      </c>
      <c r="K135" s="9">
        <v>2.5614035087719298</v>
      </c>
      <c r="L135" s="9">
        <v>9.2573099415204698</v>
      </c>
      <c r="M135" s="9">
        <v>11.3538011695906</v>
      </c>
      <c r="N135" s="9">
        <v>22.716374269005801</v>
      </c>
      <c r="O135" s="9">
        <v>12.7631578947368</v>
      </c>
      <c r="P135" s="9">
        <v>11.172514619883</v>
      </c>
      <c r="Q135" s="9">
        <v>8.5672514619883007</v>
      </c>
      <c r="R135" s="9">
        <v>1.5010526315789501</v>
      </c>
      <c r="S135" s="9">
        <v>4.2161170209138801</v>
      </c>
      <c r="T135" s="9">
        <v>11.1565932409322</v>
      </c>
      <c r="U135" s="9">
        <v>23.0464936060139</v>
      </c>
      <c r="V135" s="9">
        <v>21.050152686260301</v>
      </c>
      <c r="W135" s="9">
        <v>25.312769866653898</v>
      </c>
      <c r="X135" s="9">
        <v>25.390409356725101</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9">
        <v>0</v>
      </c>
      <c r="AO135" s="9">
        <v>0</v>
      </c>
      <c r="AP135" s="9">
        <v>0</v>
      </c>
      <c r="AQ135" s="9">
        <v>0</v>
      </c>
      <c r="AR135" s="9">
        <v>4.8039215686274499</v>
      </c>
      <c r="AS135" s="9">
        <v>3.84313725490196</v>
      </c>
      <c r="AT135" s="9">
        <v>7.68627450980392</v>
      </c>
      <c r="AU135" s="9">
        <v>11.5294117647059</v>
      </c>
      <c r="AV135" s="9">
        <v>2.8823529411764701</v>
      </c>
      <c r="AW135" s="9">
        <v>4.8039215686274499</v>
      </c>
      <c r="AX135" s="9">
        <f t="shared" si="51"/>
        <v>236.8951419265392</v>
      </c>
      <c r="AY135" s="9">
        <f t="shared" si="52"/>
        <v>0</v>
      </c>
      <c r="AZ135" s="9">
        <f t="shared" si="53"/>
        <v>185.76713877285988</v>
      </c>
      <c r="BA135" s="9">
        <f t="shared" si="54"/>
        <v>4.2655789473684242</v>
      </c>
      <c r="BB135" s="9">
        <f t="shared" si="55"/>
        <v>232.62956297917077</v>
      </c>
      <c r="BC135" s="19"/>
      <c r="BD135" s="9">
        <v>130</v>
      </c>
      <c r="BE135" s="9" t="e">
        <v>#N/A</v>
      </c>
      <c r="BF135" s="252">
        <v>128</v>
      </c>
      <c r="BH135" s="252">
        <v>19</v>
      </c>
      <c r="BI135" s="252">
        <f t="shared" si="56"/>
        <v>19</v>
      </c>
      <c r="BJ135" s="252">
        <f t="shared" si="45"/>
        <v>78.391812865496902</v>
      </c>
      <c r="BK135" s="256">
        <f t="shared" si="48"/>
        <v>19</v>
      </c>
      <c r="BP135" s="252">
        <v>0</v>
      </c>
      <c r="BQ135" s="252">
        <f t="shared" si="57"/>
        <v>0</v>
      </c>
      <c r="BR135" s="256">
        <f t="shared" si="58"/>
        <v>78.391812865496902</v>
      </c>
      <c r="BS135" s="255">
        <f t="shared" si="49"/>
        <v>0</v>
      </c>
      <c r="BU135" s="252">
        <v>0</v>
      </c>
      <c r="BW135" s="9">
        <v>0</v>
      </c>
      <c r="BX135" s="9">
        <v>0</v>
      </c>
      <c r="BY135" s="9">
        <v>0</v>
      </c>
      <c r="BZ135" s="9">
        <v>0</v>
      </c>
      <c r="CA135" s="9">
        <v>0</v>
      </c>
      <c r="CB135" s="9">
        <v>0</v>
      </c>
      <c r="CC135" s="9">
        <v>0</v>
      </c>
      <c r="CD135" s="9">
        <v>6</v>
      </c>
      <c r="CE135" s="9">
        <v>17</v>
      </c>
      <c r="CF135" s="9">
        <v>28</v>
      </c>
      <c r="CG135" s="9">
        <v>38</v>
      </c>
      <c r="CH135" s="9">
        <v>42</v>
      </c>
      <c r="CI135" s="9">
        <v>44</v>
      </c>
      <c r="CJ135" s="9">
        <v>51</v>
      </c>
      <c r="CK135" s="23">
        <f t="shared" si="59"/>
        <v>234.88725490196077</v>
      </c>
      <c r="CL135">
        <f t="shared" si="60"/>
        <v>0</v>
      </c>
      <c r="CM135">
        <f t="shared" si="61"/>
        <v>181.72549019607843</v>
      </c>
      <c r="CN135" s="23">
        <f t="shared" si="62"/>
        <v>6</v>
      </c>
      <c r="CO135" s="176">
        <f t="shared" si="46"/>
        <v>228.88725490196077</v>
      </c>
      <c r="CQ135" s="23">
        <f t="shared" si="63"/>
        <v>6</v>
      </c>
      <c r="CR135" s="23">
        <f t="shared" si="64"/>
        <v>228.88725490196077</v>
      </c>
    </row>
    <row r="136" spans="1:96" ht="29.25">
      <c r="A136" t="str">
        <f t="shared" si="47"/>
        <v>470</v>
      </c>
      <c r="B136">
        <f t="shared" si="50"/>
        <v>470</v>
      </c>
      <c r="C136" s="14" t="s">
        <v>143</v>
      </c>
      <c r="D136" s="11"/>
      <c r="E136" s="9">
        <f t="shared" si="65"/>
        <v>0</v>
      </c>
      <c r="F136" s="9">
        <v>0</v>
      </c>
      <c r="G136" s="9">
        <v>0</v>
      </c>
      <c r="H136" s="9">
        <v>0</v>
      </c>
      <c r="I136" s="9">
        <v>0</v>
      </c>
      <c r="J136" s="9">
        <v>0</v>
      </c>
      <c r="K136" s="9">
        <v>0</v>
      </c>
      <c r="L136" s="9">
        <v>0</v>
      </c>
      <c r="M136" s="9">
        <v>0</v>
      </c>
      <c r="N136" s="9">
        <v>0</v>
      </c>
      <c r="O136" s="9">
        <v>0</v>
      </c>
      <c r="P136" s="9">
        <v>0</v>
      </c>
      <c r="Q136" s="9">
        <v>0</v>
      </c>
      <c r="R136" s="9">
        <v>0</v>
      </c>
      <c r="S136" s="9">
        <v>0</v>
      </c>
      <c r="T136" s="9">
        <v>0</v>
      </c>
      <c r="U136" s="9">
        <v>2.5619204089083598</v>
      </c>
      <c r="V136" s="9">
        <v>15.3101483968292</v>
      </c>
      <c r="W136" s="9">
        <v>75.669535808545604</v>
      </c>
      <c r="X136" s="9">
        <v>104.57538566746101</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9">
        <v>0</v>
      </c>
      <c r="AO136" s="9">
        <v>0</v>
      </c>
      <c r="AP136" s="9">
        <v>0</v>
      </c>
      <c r="AQ136" s="9">
        <v>0</v>
      </c>
      <c r="AR136" s="9">
        <v>0</v>
      </c>
      <c r="AS136" s="9">
        <v>0</v>
      </c>
      <c r="AT136" s="9">
        <v>0.74117647058823499</v>
      </c>
      <c r="AU136" s="9">
        <v>6</v>
      </c>
      <c r="AV136" s="9">
        <v>6.1529411764705904</v>
      </c>
      <c r="AW136" s="9">
        <v>6.6823529411764699</v>
      </c>
      <c r="AX136" s="9">
        <f t="shared" si="51"/>
        <v>228.57813391347847</v>
      </c>
      <c r="AY136" s="9">
        <f t="shared" si="52"/>
        <v>0</v>
      </c>
      <c r="AZ136" s="9">
        <f t="shared" si="53"/>
        <v>228.57813391347847</v>
      </c>
      <c r="BA136" s="9">
        <f t="shared" si="54"/>
        <v>0</v>
      </c>
      <c r="BB136" s="9">
        <f t="shared" si="55"/>
        <v>228.57813391347847</v>
      </c>
      <c r="BC136" s="19"/>
      <c r="BD136" s="126">
        <v>136.58000000000001</v>
      </c>
      <c r="BE136" s="20"/>
      <c r="BF136" s="257">
        <v>132.43</v>
      </c>
      <c r="BH136" s="252">
        <v>31</v>
      </c>
      <c r="BI136" s="252">
        <f t="shared" si="56"/>
        <v>31</v>
      </c>
      <c r="BJ136" s="252">
        <f t="shared" si="45"/>
        <v>0</v>
      </c>
      <c r="BK136" s="256">
        <f t="shared" si="48"/>
        <v>31</v>
      </c>
      <c r="BP136" s="252">
        <v>0</v>
      </c>
      <c r="BQ136" s="252">
        <f t="shared" si="57"/>
        <v>0</v>
      </c>
      <c r="BR136" s="256">
        <f t="shared" si="58"/>
        <v>0</v>
      </c>
      <c r="BS136" s="255">
        <f t="shared" si="49"/>
        <v>0</v>
      </c>
      <c r="BU136" s="252">
        <v>0</v>
      </c>
      <c r="BW136" s="9">
        <v>0</v>
      </c>
      <c r="BX136" s="9">
        <v>0</v>
      </c>
      <c r="BY136" s="9">
        <v>0</v>
      </c>
      <c r="BZ136" s="9">
        <v>0</v>
      </c>
      <c r="CA136" s="9">
        <v>0</v>
      </c>
      <c r="CB136" s="9">
        <v>0</v>
      </c>
      <c r="CC136" s="9">
        <v>0</v>
      </c>
      <c r="CD136" s="9">
        <v>0</v>
      </c>
      <c r="CE136" s="9">
        <v>0</v>
      </c>
      <c r="CF136" s="9">
        <v>0</v>
      </c>
      <c r="CG136" s="9">
        <v>4</v>
      </c>
      <c r="CH136" s="9">
        <v>27</v>
      </c>
      <c r="CI136" s="9">
        <v>91</v>
      </c>
      <c r="CJ136" s="9">
        <v>186</v>
      </c>
      <c r="CK136" s="23">
        <f t="shared" si="59"/>
        <v>312.89411764705881</v>
      </c>
      <c r="CL136">
        <f t="shared" si="60"/>
        <v>0</v>
      </c>
      <c r="CM136">
        <f t="shared" si="61"/>
        <v>312.89411764705881</v>
      </c>
      <c r="CN136" s="23">
        <f t="shared" si="62"/>
        <v>0</v>
      </c>
      <c r="CO136" s="176">
        <f t="shared" si="46"/>
        <v>312.89411764705881</v>
      </c>
      <c r="CQ136" s="23">
        <f t="shared" si="63"/>
        <v>0</v>
      </c>
      <c r="CR136" s="23">
        <f t="shared" si="64"/>
        <v>312.89411764705881</v>
      </c>
    </row>
    <row r="137" spans="1:96" ht="29.25">
      <c r="A137" t="str">
        <f t="shared" si="47"/>
        <v>472</v>
      </c>
      <c r="B137">
        <f t="shared" si="50"/>
        <v>472</v>
      </c>
      <c r="C137" s="14" t="s">
        <v>144</v>
      </c>
      <c r="D137" s="11"/>
      <c r="E137" s="9">
        <f>SUM(22.6128048780488*0.5)</f>
        <v>11.306402439024399</v>
      </c>
      <c r="F137" s="9">
        <v>22.6615853658537</v>
      </c>
      <c r="G137" s="9">
        <v>21.789634146341498</v>
      </c>
      <c r="H137" s="9">
        <v>22.832317073170699</v>
      </c>
      <c r="I137" s="9">
        <v>22.3170731707317</v>
      </c>
      <c r="J137" s="9">
        <v>14.734756097561</v>
      </c>
      <c r="K137" s="9">
        <v>19.4115853658537</v>
      </c>
      <c r="L137" s="9">
        <v>16.2865853658537</v>
      </c>
      <c r="M137" s="9">
        <v>16.490853658536601</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9">
        <v>0</v>
      </c>
      <c r="AO137" s="9">
        <v>0</v>
      </c>
      <c r="AP137" s="9">
        <v>0</v>
      </c>
      <c r="AQ137" s="9">
        <v>0</v>
      </c>
      <c r="AR137" s="9">
        <v>0</v>
      </c>
      <c r="AS137" s="9">
        <v>0</v>
      </c>
      <c r="AT137" s="9">
        <v>0</v>
      </c>
      <c r="AU137" s="9">
        <v>0</v>
      </c>
      <c r="AV137" s="9">
        <v>0</v>
      </c>
      <c r="AW137" s="9">
        <v>0</v>
      </c>
      <c r="AX137" s="9">
        <f t="shared" si="51"/>
        <v>176.22233231707338</v>
      </c>
      <c r="AY137" s="9">
        <f t="shared" si="52"/>
        <v>82.519435975609824</v>
      </c>
      <c r="AZ137" s="9">
        <f t="shared" si="53"/>
        <v>0</v>
      </c>
      <c r="BA137" s="9">
        <f t="shared" si="54"/>
        <v>141.80602134146355</v>
      </c>
      <c r="BB137" s="9">
        <f t="shared" si="55"/>
        <v>34.416310975609818</v>
      </c>
      <c r="BC137" s="19"/>
      <c r="BD137" s="9">
        <v>50</v>
      </c>
      <c r="BF137" s="252">
        <v>39</v>
      </c>
      <c r="BH137" s="252">
        <v>14</v>
      </c>
      <c r="BI137" s="252">
        <f t="shared" si="56"/>
        <v>14</v>
      </c>
      <c r="BJ137" s="252">
        <f t="shared" si="45"/>
        <v>167.83079268292701</v>
      </c>
      <c r="BK137" s="256">
        <f t="shared" si="48"/>
        <v>14</v>
      </c>
      <c r="BP137" s="252">
        <v>0</v>
      </c>
      <c r="BQ137" s="252">
        <f t="shared" si="57"/>
        <v>0</v>
      </c>
      <c r="BR137" s="256">
        <f t="shared" si="58"/>
        <v>167.83079268292701</v>
      </c>
      <c r="BS137" s="255">
        <f t="shared" si="49"/>
        <v>0</v>
      </c>
      <c r="BU137" s="252">
        <v>12</v>
      </c>
      <c r="BW137" s="9">
        <v>0</v>
      </c>
      <c r="BX137" s="9">
        <v>24</v>
      </c>
      <c r="BY137" s="9">
        <v>22</v>
      </c>
      <c r="BZ137" s="9">
        <v>23</v>
      </c>
      <c r="CA137" s="9">
        <v>23</v>
      </c>
      <c r="CB137" s="9">
        <v>24</v>
      </c>
      <c r="CC137" s="9">
        <v>24</v>
      </c>
      <c r="CD137" s="9">
        <v>13</v>
      </c>
      <c r="CE137" s="9">
        <v>17</v>
      </c>
      <c r="CF137" s="9">
        <v>13</v>
      </c>
      <c r="CG137" s="9">
        <v>0</v>
      </c>
      <c r="CH137" s="9">
        <v>0</v>
      </c>
      <c r="CI137" s="9">
        <v>0</v>
      </c>
      <c r="CJ137" s="9">
        <v>0</v>
      </c>
      <c r="CK137" s="23">
        <f t="shared" si="59"/>
        <v>171</v>
      </c>
      <c r="CL137">
        <f t="shared" si="60"/>
        <v>80</v>
      </c>
      <c r="CM137">
        <f t="shared" si="61"/>
        <v>0</v>
      </c>
      <c r="CN137" s="23">
        <f t="shared" si="62"/>
        <v>141</v>
      </c>
      <c r="CO137" s="176">
        <f t="shared" si="46"/>
        <v>30</v>
      </c>
      <c r="CQ137" s="23">
        <f t="shared" si="63"/>
        <v>153</v>
      </c>
      <c r="CR137" s="23">
        <f t="shared" si="64"/>
        <v>30</v>
      </c>
    </row>
    <row r="138" spans="1:96" ht="29.25">
      <c r="A138" t="str">
        <f t="shared" si="47"/>
        <v>473</v>
      </c>
      <c r="B138">
        <f t="shared" si="50"/>
        <v>473</v>
      </c>
      <c r="C138" s="15" t="s">
        <v>145</v>
      </c>
      <c r="D138" s="11"/>
      <c r="E138" s="9">
        <f>SUM(50.6641791044776*0.5)</f>
        <v>25.332089552238799</v>
      </c>
      <c r="F138" s="9">
        <v>46.037037037037003</v>
      </c>
      <c r="G138" s="9">
        <v>47.3888888888889</v>
      </c>
      <c r="H138" s="9">
        <v>44.448148148148199</v>
      </c>
      <c r="I138" s="9">
        <v>55.377777777777801</v>
      </c>
      <c r="J138" s="9">
        <v>50.933333333333302</v>
      </c>
      <c r="K138" s="9">
        <v>50.429629629629602</v>
      </c>
      <c r="L138" s="9">
        <v>30.766666666666701</v>
      </c>
      <c r="M138" s="9">
        <v>16.399999999999999</v>
      </c>
      <c r="N138" s="9">
        <v>0</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9">
        <v>0</v>
      </c>
      <c r="AO138" s="9">
        <v>0</v>
      </c>
      <c r="AP138" s="9">
        <v>0</v>
      </c>
      <c r="AQ138" s="9">
        <v>0</v>
      </c>
      <c r="AR138" s="9">
        <v>0</v>
      </c>
      <c r="AS138" s="9">
        <v>0</v>
      </c>
      <c r="AT138" s="9">
        <v>0</v>
      </c>
      <c r="AU138" s="9">
        <v>0</v>
      </c>
      <c r="AV138" s="9">
        <v>0</v>
      </c>
      <c r="AW138" s="9">
        <v>0</v>
      </c>
      <c r="AX138" s="9">
        <f t="shared" si="51"/>
        <v>385.46924958540626</v>
      </c>
      <c r="AY138" s="9">
        <f t="shared" si="52"/>
        <v>171.36647180762856</v>
      </c>
      <c r="AZ138" s="9">
        <f t="shared" si="53"/>
        <v>0</v>
      </c>
      <c r="BA138" s="9">
        <f t="shared" si="54"/>
        <v>335.94424958540623</v>
      </c>
      <c r="BB138" s="9">
        <f t="shared" si="55"/>
        <v>49.525000000000034</v>
      </c>
      <c r="BC138" s="19"/>
      <c r="BD138" s="9">
        <v>100</v>
      </c>
      <c r="BF138" s="257">
        <v>209.82</v>
      </c>
      <c r="BH138" s="252">
        <v>66</v>
      </c>
      <c r="BI138" s="252">
        <f t="shared" si="56"/>
        <v>66</v>
      </c>
      <c r="BJ138" s="252">
        <f t="shared" si="45"/>
        <v>367.11357103372023</v>
      </c>
      <c r="BK138" s="256">
        <f t="shared" si="48"/>
        <v>66</v>
      </c>
      <c r="BP138" s="252">
        <v>0</v>
      </c>
      <c r="BQ138" s="252">
        <f t="shared" si="57"/>
        <v>0</v>
      </c>
      <c r="BR138" s="256">
        <f t="shared" si="58"/>
        <v>367.11357103372023</v>
      </c>
      <c r="BS138" s="255">
        <f t="shared" si="49"/>
        <v>0</v>
      </c>
      <c r="BU138" s="252">
        <v>0</v>
      </c>
      <c r="BW138" s="9">
        <v>0</v>
      </c>
      <c r="BX138" s="9">
        <v>55</v>
      </c>
      <c r="BY138" s="9">
        <v>56</v>
      </c>
      <c r="BZ138" s="9">
        <v>50</v>
      </c>
      <c r="CA138" s="9">
        <v>49</v>
      </c>
      <c r="CB138" s="9">
        <v>56</v>
      </c>
      <c r="CC138" s="9">
        <v>63</v>
      </c>
      <c r="CD138" s="9">
        <v>55</v>
      </c>
      <c r="CE138" s="9">
        <v>62</v>
      </c>
      <c r="CF138" s="9">
        <v>42</v>
      </c>
      <c r="CG138" s="9">
        <v>0</v>
      </c>
      <c r="CH138" s="9">
        <v>0</v>
      </c>
      <c r="CI138" s="9">
        <v>0</v>
      </c>
      <c r="CJ138" s="9">
        <v>0</v>
      </c>
      <c r="CK138" s="23">
        <f t="shared" si="59"/>
        <v>460.5</v>
      </c>
      <c r="CL138">
        <f t="shared" si="60"/>
        <v>182.5</v>
      </c>
      <c r="CM138">
        <f t="shared" si="61"/>
        <v>0</v>
      </c>
      <c r="CN138" s="23">
        <f t="shared" si="62"/>
        <v>356.5</v>
      </c>
      <c r="CO138" s="176">
        <f t="shared" si="46"/>
        <v>104</v>
      </c>
      <c r="CQ138" s="23">
        <f t="shared" si="63"/>
        <v>384</v>
      </c>
      <c r="CR138" s="23">
        <f t="shared" si="64"/>
        <v>104</v>
      </c>
    </row>
    <row r="139" spans="1:96" ht="29.25">
      <c r="A139" t="str">
        <f t="shared" si="47"/>
        <v>474</v>
      </c>
      <c r="B139">
        <f t="shared" si="50"/>
        <v>474</v>
      </c>
      <c r="C139" s="14" t="s">
        <v>146</v>
      </c>
      <c r="D139" s="11"/>
      <c r="E139" s="9">
        <f>SUM(31.4375*0.5)</f>
        <v>15.71875</v>
      </c>
      <c r="F139" s="9">
        <v>29.4</v>
      </c>
      <c r="G139" s="9">
        <v>27.879310344827601</v>
      </c>
      <c r="H139" s="9">
        <v>30.479310344827599</v>
      </c>
      <c r="I139" s="9">
        <v>26.2275862068966</v>
      </c>
      <c r="J139" s="9">
        <v>22.944827586206902</v>
      </c>
      <c r="K139" s="9">
        <v>13.631034482758601</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9">
        <v>0</v>
      </c>
      <c r="AS139" s="9">
        <v>0</v>
      </c>
      <c r="AT139" s="9">
        <v>0</v>
      </c>
      <c r="AU139" s="9">
        <v>0</v>
      </c>
      <c r="AV139" s="9">
        <v>0</v>
      </c>
      <c r="AW139" s="9">
        <v>0</v>
      </c>
      <c r="AX139" s="9">
        <f t="shared" si="51"/>
        <v>174.59485991379316</v>
      </c>
      <c r="AY139" s="9">
        <f t="shared" si="52"/>
        <v>108.65123922413795</v>
      </c>
      <c r="AZ139" s="9">
        <f t="shared" si="53"/>
        <v>0</v>
      </c>
      <c r="BA139" s="9">
        <f t="shared" si="54"/>
        <v>174.59485991379316</v>
      </c>
      <c r="BB139" s="9">
        <f t="shared" si="55"/>
        <v>0</v>
      </c>
      <c r="BC139" s="19"/>
      <c r="BD139" s="9">
        <v>92</v>
      </c>
      <c r="BF139" s="257">
        <v>99.32</v>
      </c>
      <c r="BH139" s="252">
        <v>20</v>
      </c>
      <c r="BI139" s="252">
        <f t="shared" si="56"/>
        <v>20</v>
      </c>
      <c r="BJ139" s="252">
        <f t="shared" si="45"/>
        <v>166.28081896551728</v>
      </c>
      <c r="BK139" s="256">
        <f t="shared" si="48"/>
        <v>20</v>
      </c>
      <c r="BP139" s="252" t="s">
        <v>239</v>
      </c>
      <c r="BQ139" s="252" t="str">
        <f t="shared" si="57"/>
        <v/>
      </c>
      <c r="BR139" s="256" t="str">
        <f t="shared" si="58"/>
        <v/>
      </c>
      <c r="BS139" s="255">
        <f t="shared" si="49"/>
        <v>14.934662727947691</v>
      </c>
      <c r="BU139" s="252">
        <v>8</v>
      </c>
      <c r="BW139" s="9">
        <v>0</v>
      </c>
      <c r="BX139" s="9">
        <v>35</v>
      </c>
      <c r="BY139" s="9">
        <v>43</v>
      </c>
      <c r="BZ139" s="9">
        <v>26</v>
      </c>
      <c r="CA139" s="9">
        <v>33</v>
      </c>
      <c r="CB139" s="9">
        <v>29</v>
      </c>
      <c r="CC139" s="9">
        <v>24</v>
      </c>
      <c r="CD139" s="9">
        <v>23</v>
      </c>
      <c r="CE139" s="9">
        <v>14</v>
      </c>
      <c r="CF139" s="9">
        <v>4</v>
      </c>
      <c r="CG139" s="9">
        <v>0</v>
      </c>
      <c r="CH139" s="9">
        <v>0</v>
      </c>
      <c r="CI139" s="9">
        <v>0</v>
      </c>
      <c r="CJ139" s="9">
        <v>0</v>
      </c>
      <c r="CK139" s="23">
        <f t="shared" si="59"/>
        <v>213.5</v>
      </c>
      <c r="CL139">
        <f t="shared" si="60"/>
        <v>119.5</v>
      </c>
      <c r="CM139">
        <f t="shared" si="61"/>
        <v>0</v>
      </c>
      <c r="CN139" s="23">
        <f t="shared" si="62"/>
        <v>195.5</v>
      </c>
      <c r="CO139" s="176">
        <f t="shared" si="46"/>
        <v>18</v>
      </c>
      <c r="CQ139" s="23">
        <f t="shared" si="63"/>
        <v>213</v>
      </c>
      <c r="CR139" s="23">
        <f t="shared" si="64"/>
        <v>18</v>
      </c>
    </row>
    <row r="140" spans="1:96" ht="29.25">
      <c r="A140" t="str">
        <f t="shared" si="47"/>
        <v>475</v>
      </c>
      <c r="B140">
        <f t="shared" si="50"/>
        <v>475</v>
      </c>
      <c r="C140" s="14" t="s">
        <v>147</v>
      </c>
      <c r="D140" s="11"/>
      <c r="E140" s="9">
        <f>SUM(76.1912751677852*0.5)</f>
        <v>38.095637583892596</v>
      </c>
      <c r="F140" s="9">
        <v>76.214765100671102</v>
      </c>
      <c r="G140" s="9">
        <v>69.291946308724803</v>
      </c>
      <c r="H140" s="9">
        <v>69.3825503355705</v>
      </c>
      <c r="I140" s="9">
        <v>74.466442953020106</v>
      </c>
      <c r="J140" s="9">
        <v>75.016778523489904</v>
      </c>
      <c r="K140" s="9">
        <v>90.714765100671102</v>
      </c>
      <c r="L140" s="9">
        <v>96.308724832214807</v>
      </c>
      <c r="M140" s="9">
        <v>84.859060402684605</v>
      </c>
      <c r="N140" s="9">
        <v>73.1174496644295</v>
      </c>
      <c r="O140" s="9">
        <v>58.604026845637598</v>
      </c>
      <c r="P140" s="9">
        <v>49.932885906040298</v>
      </c>
      <c r="Q140" s="9">
        <v>53.798657718120801</v>
      </c>
      <c r="R140" s="9">
        <v>0</v>
      </c>
      <c r="S140" s="9">
        <v>0</v>
      </c>
      <c r="T140" s="9">
        <v>0</v>
      </c>
      <c r="U140" s="9">
        <v>0</v>
      </c>
      <c r="V140" s="9">
        <v>0</v>
      </c>
      <c r="W140" s="9">
        <v>0</v>
      </c>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9">
        <v>0</v>
      </c>
      <c r="AO140" s="9">
        <v>0</v>
      </c>
      <c r="AP140" s="9">
        <v>0</v>
      </c>
      <c r="AQ140" s="9">
        <v>0</v>
      </c>
      <c r="AR140" s="9">
        <v>0</v>
      </c>
      <c r="AS140" s="9">
        <v>0</v>
      </c>
      <c r="AT140" s="9">
        <v>0</v>
      </c>
      <c r="AU140" s="9">
        <v>0</v>
      </c>
      <c r="AV140" s="9">
        <v>0</v>
      </c>
      <c r="AW140" s="9">
        <v>0</v>
      </c>
      <c r="AX140" s="9">
        <f t="shared" si="51"/>
        <v>955.29387583892606</v>
      </c>
      <c r="AY140" s="9">
        <f t="shared" si="52"/>
        <v>265.63414429530195</v>
      </c>
      <c r="AZ140" s="9">
        <f t="shared" si="53"/>
        <v>247.22567114093962</v>
      </c>
      <c r="BA140" s="9">
        <f t="shared" si="54"/>
        <v>517.84203020134214</v>
      </c>
      <c r="BB140" s="9">
        <f t="shared" si="55"/>
        <v>437.45184563758403</v>
      </c>
      <c r="BC140" s="19"/>
      <c r="BD140" s="9">
        <v>266</v>
      </c>
      <c r="BF140" s="252">
        <v>360</v>
      </c>
      <c r="BH140" s="252">
        <v>63</v>
      </c>
      <c r="BI140" s="252">
        <f t="shared" si="56"/>
        <v>63</v>
      </c>
      <c r="BJ140" s="252">
        <f t="shared" si="45"/>
        <v>909.80369127516758</v>
      </c>
      <c r="BK140" s="256">
        <f t="shared" si="48"/>
        <v>63</v>
      </c>
      <c r="BP140" s="252">
        <v>17</v>
      </c>
      <c r="BQ140" s="252">
        <f t="shared" si="57"/>
        <v>17</v>
      </c>
      <c r="BR140" s="256">
        <f t="shared" si="58"/>
        <v>909.80369127516758</v>
      </c>
      <c r="BS140" s="255">
        <f t="shared" si="49"/>
        <v>17</v>
      </c>
      <c r="BU140" s="252">
        <v>0</v>
      </c>
      <c r="BW140" s="9">
        <v>0</v>
      </c>
      <c r="BX140" s="9">
        <v>79</v>
      </c>
      <c r="BY140" s="9">
        <v>80</v>
      </c>
      <c r="BZ140" s="9">
        <v>71</v>
      </c>
      <c r="CA140" s="9">
        <v>72</v>
      </c>
      <c r="CB140" s="9">
        <v>78</v>
      </c>
      <c r="CC140" s="9">
        <v>78</v>
      </c>
      <c r="CD140" s="9">
        <v>105</v>
      </c>
      <c r="CE140" s="9">
        <v>93</v>
      </c>
      <c r="CF140" s="9">
        <v>101</v>
      </c>
      <c r="CG140" s="9">
        <v>88</v>
      </c>
      <c r="CH140" s="9">
        <v>50</v>
      </c>
      <c r="CI140" s="9">
        <v>54</v>
      </c>
      <c r="CJ140" s="9">
        <v>47</v>
      </c>
      <c r="CK140" s="23">
        <f t="shared" si="59"/>
        <v>956.5</v>
      </c>
      <c r="CL140">
        <f t="shared" si="60"/>
        <v>262.5</v>
      </c>
      <c r="CM140">
        <f t="shared" si="61"/>
        <v>239</v>
      </c>
      <c r="CN140" s="23">
        <f t="shared" si="62"/>
        <v>523.5</v>
      </c>
      <c r="CO140" s="176">
        <f t="shared" si="46"/>
        <v>433</v>
      </c>
      <c r="CQ140" s="23">
        <f t="shared" si="63"/>
        <v>563</v>
      </c>
      <c r="CR140" s="23">
        <f t="shared" si="64"/>
        <v>433</v>
      </c>
    </row>
    <row r="141" spans="1:96" ht="29.25">
      <c r="A141" t="str">
        <f t="shared" si="47"/>
        <v>476</v>
      </c>
      <c r="B141">
        <f t="shared" si="50"/>
        <v>476</v>
      </c>
      <c r="C141" s="14" t="s">
        <v>148</v>
      </c>
      <c r="D141" s="11"/>
      <c r="E141" s="9">
        <f>SUM(7.26190476190476*0.5)</f>
        <v>3.63095238095238</v>
      </c>
      <c r="F141" s="9">
        <v>6.9760479041916197</v>
      </c>
      <c r="G141" s="9">
        <v>12.682634730538901</v>
      </c>
      <c r="H141" s="9">
        <v>11.7005988023952</v>
      </c>
      <c r="I141" s="9">
        <v>12.1586826347305</v>
      </c>
      <c r="J141" s="9">
        <v>11.227544910179599</v>
      </c>
      <c r="K141" s="9">
        <v>29.544910179640699</v>
      </c>
      <c r="L141" s="9">
        <v>51.739520958083801</v>
      </c>
      <c r="M141" s="9">
        <v>42.416167664670702</v>
      </c>
      <c r="N141" s="9">
        <v>70.994011976047901</v>
      </c>
      <c r="O141" s="9">
        <v>73.008982035928099</v>
      </c>
      <c r="P141" s="9">
        <v>63.095808383233503</v>
      </c>
      <c r="Q141" s="9">
        <v>81.251497005988</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1.6352941176470599</v>
      </c>
      <c r="AS141" s="9">
        <v>2.5882352941176499</v>
      </c>
      <c r="AT141" s="9">
        <v>7.2</v>
      </c>
      <c r="AU141" s="9">
        <v>7.50588235294118</v>
      </c>
      <c r="AV141" s="9">
        <v>8.3764705882352892</v>
      </c>
      <c r="AW141" s="9">
        <v>7.1411764705882401</v>
      </c>
      <c r="AX141" s="9">
        <f t="shared" si="51"/>
        <v>530.1181393096158</v>
      </c>
      <c r="AY141" s="9">
        <f t="shared" si="52"/>
        <v>36.739745508982011</v>
      </c>
      <c r="AZ141" s="9">
        <f t="shared" si="53"/>
        <v>334.50252025361038</v>
      </c>
      <c r="BA141" s="9">
        <f t="shared" si="54"/>
        <v>92.317440119760349</v>
      </c>
      <c r="BB141" s="9">
        <f t="shared" si="55"/>
        <v>437.80069918985555</v>
      </c>
      <c r="BC141" s="19"/>
      <c r="BD141" s="9">
        <v>369</v>
      </c>
      <c r="BF141" s="252">
        <v>133</v>
      </c>
      <c r="BH141" s="252">
        <v>153</v>
      </c>
      <c r="BI141" s="252">
        <f t="shared" si="56"/>
        <v>153</v>
      </c>
      <c r="BJ141" s="252">
        <f t="shared" si="45"/>
        <v>470.42735956658089</v>
      </c>
      <c r="BK141" s="256">
        <f t="shared" si="48"/>
        <v>153</v>
      </c>
      <c r="BP141" s="252">
        <v>7</v>
      </c>
      <c r="BQ141" s="252">
        <f t="shared" si="57"/>
        <v>7</v>
      </c>
      <c r="BR141" s="256">
        <f t="shared" si="58"/>
        <v>470.42735956658089</v>
      </c>
      <c r="BS141" s="255">
        <f t="shared" si="49"/>
        <v>7</v>
      </c>
      <c r="BU141" s="252">
        <v>0</v>
      </c>
      <c r="BW141" s="9">
        <v>0</v>
      </c>
      <c r="BX141" s="9">
        <v>10</v>
      </c>
      <c r="BY141" s="9">
        <v>18</v>
      </c>
      <c r="BZ141" s="9">
        <v>13</v>
      </c>
      <c r="CA141" s="9">
        <v>21</v>
      </c>
      <c r="CB141" s="9">
        <v>16</v>
      </c>
      <c r="CC141" s="9">
        <v>18</v>
      </c>
      <c r="CD141" s="9">
        <v>29</v>
      </c>
      <c r="CE141" s="9">
        <v>52</v>
      </c>
      <c r="CF141" s="9">
        <v>62</v>
      </c>
      <c r="CG141" s="9">
        <v>68</v>
      </c>
      <c r="CH141" s="9">
        <v>81</v>
      </c>
      <c r="CI141" s="9">
        <v>80</v>
      </c>
      <c r="CJ141" s="9">
        <v>64</v>
      </c>
      <c r="CK141" s="23">
        <f t="shared" si="59"/>
        <v>535.61176470588236</v>
      </c>
      <c r="CL141">
        <f t="shared" si="60"/>
        <v>57</v>
      </c>
      <c r="CM141">
        <f t="shared" si="61"/>
        <v>300.55588235294118</v>
      </c>
      <c r="CN141" s="23">
        <f t="shared" si="62"/>
        <v>120</v>
      </c>
      <c r="CO141" s="176">
        <f t="shared" si="46"/>
        <v>415.61176470588236</v>
      </c>
      <c r="CQ141" s="23">
        <f t="shared" si="63"/>
        <v>125</v>
      </c>
      <c r="CR141" s="23">
        <f t="shared" si="64"/>
        <v>415.61176470588236</v>
      </c>
    </row>
    <row r="142" spans="1:96" ht="43.5">
      <c r="A142" t="str">
        <f t="shared" si="47"/>
        <v>477</v>
      </c>
      <c r="B142">
        <f t="shared" si="50"/>
        <v>477</v>
      </c>
      <c r="C142" s="15" t="s">
        <v>149</v>
      </c>
      <c r="D142" s="11"/>
      <c r="E142" s="9">
        <f>SUM(92.9*0.5)</f>
        <v>46.45</v>
      </c>
      <c r="F142" s="9">
        <v>86.234265734265705</v>
      </c>
      <c r="G142" s="9">
        <v>85.699300699300693</v>
      </c>
      <c r="H142" s="9">
        <v>73.377622377622401</v>
      </c>
      <c r="I142" s="9">
        <v>71.958041958042003</v>
      </c>
      <c r="J142" s="9">
        <v>47.7604166666667</v>
      </c>
      <c r="K142" s="9">
        <v>51.8576388888889</v>
      </c>
      <c r="L142" s="9">
        <v>37.8229166666667</v>
      </c>
      <c r="M142" s="9">
        <v>30.6527777777778</v>
      </c>
      <c r="N142" s="9">
        <v>0</v>
      </c>
      <c r="O142" s="9">
        <v>0</v>
      </c>
      <c r="P142" s="9">
        <v>0</v>
      </c>
      <c r="Q142" s="9">
        <v>0</v>
      </c>
      <c r="R142" s="9">
        <v>0</v>
      </c>
      <c r="S142" s="9">
        <v>0</v>
      </c>
      <c r="T142" s="9">
        <v>0</v>
      </c>
      <c r="U142" s="9">
        <v>0</v>
      </c>
      <c r="V142" s="9">
        <v>0</v>
      </c>
      <c r="W142" s="9">
        <v>0</v>
      </c>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9">
        <v>0</v>
      </c>
      <c r="AO142" s="9">
        <v>0</v>
      </c>
      <c r="AP142" s="9">
        <v>0</v>
      </c>
      <c r="AQ142" s="9">
        <v>0</v>
      </c>
      <c r="AR142" s="9">
        <v>0</v>
      </c>
      <c r="AS142" s="9">
        <v>0</v>
      </c>
      <c r="AT142" s="9">
        <v>0</v>
      </c>
      <c r="AU142" s="9">
        <v>0</v>
      </c>
      <c r="AV142" s="9">
        <v>0</v>
      </c>
      <c r="AW142" s="9">
        <v>0</v>
      </c>
      <c r="AX142" s="9">
        <f t="shared" si="51"/>
        <v>558.40362980769248</v>
      </c>
      <c r="AY142" s="9">
        <f t="shared" si="52"/>
        <v>306.34924825174824</v>
      </c>
      <c r="AZ142" s="9">
        <f t="shared" si="53"/>
        <v>0</v>
      </c>
      <c r="BA142" s="9">
        <f t="shared" si="54"/>
        <v>486.50415064102572</v>
      </c>
      <c r="BB142" s="9">
        <f t="shared" si="55"/>
        <v>71.899479166666723</v>
      </c>
      <c r="BC142" s="19"/>
      <c r="BD142" s="9">
        <v>309</v>
      </c>
      <c r="BF142" s="252">
        <v>280</v>
      </c>
      <c r="BH142" s="252">
        <v>58</v>
      </c>
      <c r="BI142" s="252">
        <f t="shared" si="56"/>
        <v>58</v>
      </c>
      <c r="BJ142" s="252">
        <f t="shared" si="45"/>
        <v>531.81298076923088</v>
      </c>
      <c r="BK142" s="256">
        <f t="shared" si="48"/>
        <v>58</v>
      </c>
      <c r="BP142" s="252">
        <v>16</v>
      </c>
      <c r="BQ142" s="252">
        <f t="shared" si="57"/>
        <v>16</v>
      </c>
      <c r="BR142" s="256">
        <f t="shared" si="58"/>
        <v>531.81298076923088</v>
      </c>
      <c r="BS142" s="255">
        <f t="shared" si="49"/>
        <v>16</v>
      </c>
      <c r="BU142" s="252">
        <v>29</v>
      </c>
      <c r="BW142" s="9">
        <v>0</v>
      </c>
      <c r="BX142" s="9">
        <v>98</v>
      </c>
      <c r="BY142" s="9">
        <v>95</v>
      </c>
      <c r="BZ142" s="9">
        <v>86</v>
      </c>
      <c r="CA142" s="9">
        <v>84</v>
      </c>
      <c r="CB142" s="9">
        <v>63</v>
      </c>
      <c r="CC142" s="9">
        <v>62</v>
      </c>
      <c r="CD142" s="9">
        <v>52</v>
      </c>
      <c r="CE142" s="9">
        <v>56</v>
      </c>
      <c r="CF142" s="9">
        <v>44</v>
      </c>
      <c r="CG142" s="9">
        <v>0</v>
      </c>
      <c r="CH142" s="9">
        <v>0</v>
      </c>
      <c r="CI142" s="9">
        <v>0</v>
      </c>
      <c r="CJ142" s="9">
        <v>0</v>
      </c>
      <c r="CK142" s="23">
        <f t="shared" si="59"/>
        <v>591</v>
      </c>
      <c r="CL142">
        <f t="shared" si="60"/>
        <v>314</v>
      </c>
      <c r="CM142">
        <f t="shared" si="61"/>
        <v>0</v>
      </c>
      <c r="CN142" s="23">
        <f t="shared" si="62"/>
        <v>491</v>
      </c>
      <c r="CO142" s="176">
        <f t="shared" si="46"/>
        <v>100</v>
      </c>
      <c r="CQ142" s="23">
        <f t="shared" si="63"/>
        <v>540</v>
      </c>
      <c r="CR142" s="23">
        <f t="shared" si="64"/>
        <v>100</v>
      </c>
    </row>
    <row r="143" spans="1:96" ht="29.25">
      <c r="A143" t="str">
        <f t="shared" si="47"/>
        <v>478</v>
      </c>
      <c r="B143">
        <f t="shared" si="50"/>
        <v>478</v>
      </c>
      <c r="C143" s="14" t="s">
        <v>150</v>
      </c>
      <c r="D143" s="11"/>
      <c r="E143" s="9">
        <f>SUM(23.7441860465116*0.5)</f>
        <v>11.8720930232558</v>
      </c>
      <c r="F143" s="9">
        <v>27.1540697674419</v>
      </c>
      <c r="G143" s="9">
        <v>29.191860465116299</v>
      </c>
      <c r="H143" s="9">
        <v>29.4011627906977</v>
      </c>
      <c r="I143" s="9">
        <v>32.174418604651201</v>
      </c>
      <c r="J143" s="9">
        <v>32.165697674418603</v>
      </c>
      <c r="K143" s="9">
        <v>44.037790697674403</v>
      </c>
      <c r="L143" s="9">
        <v>44.255813953488399</v>
      </c>
      <c r="M143" s="9">
        <v>37.406976744185997</v>
      </c>
      <c r="N143" s="9">
        <v>0</v>
      </c>
      <c r="O143" s="9">
        <v>0</v>
      </c>
      <c r="P143" s="9">
        <v>0</v>
      </c>
      <c r="Q143" s="9">
        <v>0</v>
      </c>
      <c r="R143" s="9">
        <v>0</v>
      </c>
      <c r="S143" s="9">
        <v>0</v>
      </c>
      <c r="T143" s="9">
        <v>0</v>
      </c>
      <c r="U143" s="9">
        <v>0</v>
      </c>
      <c r="V143" s="9">
        <v>0</v>
      </c>
      <c r="W143" s="9">
        <v>0</v>
      </c>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9">
        <v>0</v>
      </c>
      <c r="AO143" s="9">
        <v>0</v>
      </c>
      <c r="AP143" s="9">
        <v>0</v>
      </c>
      <c r="AQ143" s="9">
        <v>0</v>
      </c>
      <c r="AR143" s="9">
        <v>0</v>
      </c>
      <c r="AS143" s="9">
        <v>0</v>
      </c>
      <c r="AT143" s="9">
        <v>0</v>
      </c>
      <c r="AU143" s="9">
        <v>0</v>
      </c>
      <c r="AV143" s="9">
        <v>0</v>
      </c>
      <c r="AW143" s="9">
        <v>0</v>
      </c>
      <c r="AX143" s="9">
        <f t="shared" si="51"/>
        <v>302.0428779069768</v>
      </c>
      <c r="AY143" s="9">
        <f t="shared" si="52"/>
        <v>102.50014534883728</v>
      </c>
      <c r="AZ143" s="9">
        <f t="shared" si="53"/>
        <v>0</v>
      </c>
      <c r="BA143" s="9">
        <f t="shared" si="54"/>
        <v>216.2969476744187</v>
      </c>
      <c r="BB143" s="9">
        <f t="shared" si="55"/>
        <v>85.745930232558123</v>
      </c>
      <c r="BC143" s="19"/>
      <c r="BD143" s="9">
        <v>103</v>
      </c>
      <c r="BF143" s="252">
        <v>108</v>
      </c>
      <c r="BH143" s="252">
        <v>23</v>
      </c>
      <c r="BI143" s="252">
        <f t="shared" si="56"/>
        <v>23</v>
      </c>
      <c r="BJ143" s="252">
        <f t="shared" si="45"/>
        <v>287.65988372093028</v>
      </c>
      <c r="BK143" s="256">
        <f t="shared" si="48"/>
        <v>23</v>
      </c>
      <c r="BP143" s="252">
        <v>0</v>
      </c>
      <c r="BQ143" s="252">
        <f t="shared" si="57"/>
        <v>0</v>
      </c>
      <c r="BR143" s="256">
        <f t="shared" si="58"/>
        <v>287.65988372093028</v>
      </c>
      <c r="BS143" s="255">
        <f t="shared" si="49"/>
        <v>0</v>
      </c>
      <c r="BU143" s="252">
        <v>0</v>
      </c>
      <c r="BW143" s="9">
        <v>0</v>
      </c>
      <c r="BX143" s="9">
        <v>24</v>
      </c>
      <c r="BY143" s="9">
        <v>28</v>
      </c>
      <c r="BZ143" s="9">
        <v>30</v>
      </c>
      <c r="CA143" s="9">
        <v>30</v>
      </c>
      <c r="CB143" s="9">
        <v>33</v>
      </c>
      <c r="CC143" s="9">
        <v>31</v>
      </c>
      <c r="CD143" s="9">
        <v>50</v>
      </c>
      <c r="CE143" s="9">
        <v>44</v>
      </c>
      <c r="CF143" s="9">
        <v>29</v>
      </c>
      <c r="CG143" s="9">
        <v>0</v>
      </c>
      <c r="CH143" s="9">
        <v>0</v>
      </c>
      <c r="CI143" s="9">
        <v>0</v>
      </c>
      <c r="CJ143" s="9">
        <v>0</v>
      </c>
      <c r="CK143" s="23">
        <f t="shared" si="59"/>
        <v>287</v>
      </c>
      <c r="CL143">
        <f t="shared" si="60"/>
        <v>100</v>
      </c>
      <c r="CM143">
        <f t="shared" si="61"/>
        <v>0</v>
      </c>
      <c r="CN143" s="23">
        <f t="shared" si="62"/>
        <v>214</v>
      </c>
      <c r="CO143" s="176">
        <f t="shared" si="46"/>
        <v>73</v>
      </c>
      <c r="CQ143" s="23">
        <f t="shared" si="63"/>
        <v>226</v>
      </c>
      <c r="CR143" s="23">
        <f t="shared" si="64"/>
        <v>73</v>
      </c>
    </row>
    <row r="144" spans="1:96" ht="29.25">
      <c r="A144" t="str">
        <f t="shared" si="47"/>
        <v>479</v>
      </c>
      <c r="B144">
        <f t="shared" si="50"/>
        <v>479</v>
      </c>
      <c r="C144" s="14" t="s">
        <v>151</v>
      </c>
      <c r="D144" s="11"/>
      <c r="E144" s="9">
        <f>SUM(15.7573529411765*0.5)</f>
        <v>7.8786764705882497</v>
      </c>
      <c r="F144" s="9">
        <v>16.073529411764699</v>
      </c>
      <c r="G144" s="9">
        <v>8.8676470588235308</v>
      </c>
      <c r="H144" s="9">
        <v>15.132352941176499</v>
      </c>
      <c r="I144" s="9">
        <v>18.595588235294102</v>
      </c>
      <c r="J144" s="9">
        <v>13.036764705882399</v>
      </c>
      <c r="K144" s="9">
        <v>24.485294117647101</v>
      </c>
      <c r="L144" s="9">
        <v>19.194852941176499</v>
      </c>
      <c r="M144" s="9">
        <v>15.3786764705882</v>
      </c>
      <c r="N144" s="9">
        <v>0</v>
      </c>
      <c r="O144" s="9">
        <v>0</v>
      </c>
      <c r="P144" s="9">
        <v>0</v>
      </c>
      <c r="Q144" s="9">
        <v>0</v>
      </c>
      <c r="R144" s="9">
        <v>0</v>
      </c>
      <c r="S144" s="9">
        <v>0</v>
      </c>
      <c r="T144" s="9">
        <v>0</v>
      </c>
      <c r="U144" s="9">
        <v>0</v>
      </c>
      <c r="V144" s="9">
        <v>0</v>
      </c>
      <c r="W144" s="9">
        <v>0</v>
      </c>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9">
        <v>0</v>
      </c>
      <c r="AO144" s="9">
        <v>0</v>
      </c>
      <c r="AP144" s="9">
        <v>0</v>
      </c>
      <c r="AQ144" s="9">
        <v>0</v>
      </c>
      <c r="AR144" s="9">
        <v>0</v>
      </c>
      <c r="AS144" s="9">
        <v>0</v>
      </c>
      <c r="AT144" s="9">
        <v>0</v>
      </c>
      <c r="AU144" s="9">
        <v>0</v>
      </c>
      <c r="AV144" s="9">
        <v>0</v>
      </c>
      <c r="AW144" s="9">
        <v>0</v>
      </c>
      <c r="AX144" s="9">
        <f t="shared" si="51"/>
        <v>145.57555147058835</v>
      </c>
      <c r="AY144" s="9">
        <f t="shared" si="52"/>
        <v>50.349816176470625</v>
      </c>
      <c r="AZ144" s="9">
        <f t="shared" si="53"/>
        <v>0</v>
      </c>
      <c r="BA144" s="9">
        <f t="shared" si="54"/>
        <v>109.27334558823541</v>
      </c>
      <c r="BB144" s="9">
        <f t="shared" si="55"/>
        <v>36.302205882352929</v>
      </c>
      <c r="BC144" s="19"/>
      <c r="BD144" s="9">
        <v>171</v>
      </c>
      <c r="BF144" s="257">
        <v>73.95</v>
      </c>
      <c r="BH144" s="252">
        <v>29</v>
      </c>
      <c r="BI144" s="252">
        <f t="shared" si="56"/>
        <v>29</v>
      </c>
      <c r="BJ144" s="252">
        <f t="shared" si="45"/>
        <v>138.64338235294127</v>
      </c>
      <c r="BK144" s="256">
        <f t="shared" si="48"/>
        <v>29</v>
      </c>
      <c r="BP144" s="252" t="s">
        <v>239</v>
      </c>
      <c r="BQ144" s="252" t="str">
        <f t="shared" si="57"/>
        <v/>
      </c>
      <c r="BR144" s="256" t="str">
        <f t="shared" si="58"/>
        <v/>
      </c>
      <c r="BS144" s="255">
        <f t="shared" si="49"/>
        <v>12.452381265529278</v>
      </c>
      <c r="BU144" s="252">
        <v>18</v>
      </c>
      <c r="BW144" s="9">
        <v>0</v>
      </c>
      <c r="BX144" s="9">
        <v>22</v>
      </c>
      <c r="BY144" s="9">
        <v>20</v>
      </c>
      <c r="BZ144" s="9">
        <v>14</v>
      </c>
      <c r="CA144" s="9">
        <v>12</v>
      </c>
      <c r="CB144" s="9">
        <v>18</v>
      </c>
      <c r="CC144" s="9">
        <v>22</v>
      </c>
      <c r="CD144" s="9">
        <v>14</v>
      </c>
      <c r="CE144" s="9">
        <v>25</v>
      </c>
      <c r="CF144" s="9">
        <v>25</v>
      </c>
      <c r="CG144" s="9">
        <v>0</v>
      </c>
      <c r="CH144" s="9">
        <v>0</v>
      </c>
      <c r="CI144" s="9">
        <v>0</v>
      </c>
      <c r="CJ144" s="9">
        <v>0</v>
      </c>
      <c r="CK144" s="23">
        <f t="shared" si="59"/>
        <v>161</v>
      </c>
      <c r="CL144">
        <f t="shared" si="60"/>
        <v>57</v>
      </c>
      <c r="CM144">
        <f t="shared" si="61"/>
        <v>0</v>
      </c>
      <c r="CN144" s="23">
        <f t="shared" si="62"/>
        <v>111</v>
      </c>
      <c r="CO144" s="176">
        <f t="shared" si="46"/>
        <v>50</v>
      </c>
      <c r="CQ144" s="23">
        <f t="shared" si="63"/>
        <v>122</v>
      </c>
      <c r="CR144" s="23">
        <f t="shared" si="64"/>
        <v>50</v>
      </c>
    </row>
    <row r="145" spans="1:96" ht="29.25">
      <c r="A145" t="str">
        <f t="shared" si="47"/>
        <v>480</v>
      </c>
      <c r="B145">
        <f t="shared" si="50"/>
        <v>480</v>
      </c>
      <c r="C145" s="14" t="s">
        <v>152</v>
      </c>
      <c r="D145" s="11"/>
      <c r="E145" s="9">
        <f>SUM(41.4892086330935*0.5)</f>
        <v>20.744604316546749</v>
      </c>
      <c r="F145" s="9">
        <v>49.460431654676299</v>
      </c>
      <c r="G145" s="9">
        <v>49.600719424460401</v>
      </c>
      <c r="H145" s="9">
        <v>46.395683453237403</v>
      </c>
      <c r="I145" s="9">
        <v>54.071942446043202</v>
      </c>
      <c r="J145" s="9">
        <v>55.3381294964029</v>
      </c>
      <c r="K145" s="9">
        <v>52.805755395683498</v>
      </c>
      <c r="L145" s="9">
        <v>39.187050359712202</v>
      </c>
      <c r="M145" s="9">
        <v>25.136690647481998</v>
      </c>
      <c r="N145" s="9">
        <v>16.032374100719402</v>
      </c>
      <c r="O145" s="9">
        <v>9.8129496402877692</v>
      </c>
      <c r="P145" s="9">
        <v>7.2841726618704996</v>
      </c>
      <c r="Q145" s="9">
        <v>6.9100719424460397</v>
      </c>
      <c r="R145" s="9">
        <v>0</v>
      </c>
      <c r="S145" s="9">
        <v>0</v>
      </c>
      <c r="T145" s="9">
        <v>0</v>
      </c>
      <c r="U145" s="9">
        <v>0</v>
      </c>
      <c r="V145" s="9">
        <v>0</v>
      </c>
      <c r="W145" s="9">
        <v>0</v>
      </c>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9">
        <v>0</v>
      </c>
      <c r="AO145" s="9">
        <v>0</v>
      </c>
      <c r="AP145" s="9">
        <v>0</v>
      </c>
      <c r="AQ145" s="9">
        <v>0</v>
      </c>
      <c r="AR145" s="9">
        <v>0</v>
      </c>
      <c r="AS145" s="9">
        <v>0</v>
      </c>
      <c r="AT145" s="9">
        <v>0</v>
      </c>
      <c r="AU145" s="9">
        <v>0</v>
      </c>
      <c r="AV145" s="9">
        <v>0</v>
      </c>
      <c r="AW145" s="9">
        <v>0</v>
      </c>
      <c r="AX145" s="9">
        <f t="shared" si="51"/>
        <v>454.41960431654678</v>
      </c>
      <c r="AY145" s="9">
        <f t="shared" si="52"/>
        <v>174.51151079136693</v>
      </c>
      <c r="AZ145" s="9">
        <f t="shared" si="53"/>
        <v>42.041546762589896</v>
      </c>
      <c r="BA145" s="9">
        <f t="shared" si="54"/>
        <v>344.83812949640298</v>
      </c>
      <c r="BB145" s="9">
        <f t="shared" si="55"/>
        <v>109.58147482014381</v>
      </c>
      <c r="BC145" s="19"/>
      <c r="BD145" s="9">
        <v>147</v>
      </c>
      <c r="BF145" s="252">
        <v>159</v>
      </c>
      <c r="BH145" s="252">
        <v>9</v>
      </c>
      <c r="BI145" s="252">
        <f t="shared" si="56"/>
        <v>9</v>
      </c>
      <c r="BJ145" s="252">
        <f t="shared" si="45"/>
        <v>432.78057553956836</v>
      </c>
      <c r="BK145" s="256">
        <f t="shared" si="48"/>
        <v>9</v>
      </c>
      <c r="BP145" s="252">
        <v>0</v>
      </c>
      <c r="BQ145" s="252">
        <f t="shared" si="57"/>
        <v>0</v>
      </c>
      <c r="BR145" s="256">
        <f t="shared" si="58"/>
        <v>432.78057553956836</v>
      </c>
      <c r="BS145" s="255">
        <f t="shared" si="49"/>
        <v>0</v>
      </c>
      <c r="BU145" s="252">
        <v>40</v>
      </c>
      <c r="BW145" s="9">
        <v>0</v>
      </c>
      <c r="BX145" s="9">
        <v>47</v>
      </c>
      <c r="BY145" s="9">
        <v>50</v>
      </c>
      <c r="BZ145" s="9">
        <v>51</v>
      </c>
      <c r="CA145" s="9">
        <v>56</v>
      </c>
      <c r="CB145" s="9">
        <v>60</v>
      </c>
      <c r="CC145" s="9">
        <v>60</v>
      </c>
      <c r="CD145" s="9">
        <v>59</v>
      </c>
      <c r="CE145" s="9">
        <v>53</v>
      </c>
      <c r="CF145" s="9">
        <v>40</v>
      </c>
      <c r="CG145" s="9">
        <v>23</v>
      </c>
      <c r="CH145" s="9">
        <v>14</v>
      </c>
      <c r="CI145" s="9">
        <v>9</v>
      </c>
      <c r="CJ145" s="9">
        <v>6</v>
      </c>
      <c r="CK145" s="23">
        <f t="shared" si="59"/>
        <v>504.5</v>
      </c>
      <c r="CL145">
        <f t="shared" si="60"/>
        <v>180.5</v>
      </c>
      <c r="CM145">
        <f t="shared" si="61"/>
        <v>52</v>
      </c>
      <c r="CN145" s="23">
        <f t="shared" si="62"/>
        <v>359.5</v>
      </c>
      <c r="CO145" s="176">
        <f t="shared" si="46"/>
        <v>145</v>
      </c>
      <c r="CQ145" s="23">
        <f t="shared" si="63"/>
        <v>383</v>
      </c>
      <c r="CR145" s="23">
        <f t="shared" si="64"/>
        <v>145</v>
      </c>
    </row>
    <row r="146" spans="1:96" ht="29.25">
      <c r="A146" t="str">
        <f t="shared" si="47"/>
        <v>481</v>
      </c>
      <c r="B146">
        <f t="shared" si="50"/>
        <v>481</v>
      </c>
      <c r="C146" s="14" t="s">
        <v>153</v>
      </c>
      <c r="D146" s="11"/>
      <c r="E146" s="9">
        <f>SUM(56.6389776357827*0.5)</f>
        <v>28.319488817891351</v>
      </c>
      <c r="F146" s="9">
        <v>57.252396166134197</v>
      </c>
      <c r="G146" s="9">
        <v>57.121405750798701</v>
      </c>
      <c r="H146" s="9">
        <v>57.063897763578296</v>
      </c>
      <c r="I146" s="9">
        <v>56.424920127795502</v>
      </c>
      <c r="J146" s="9">
        <v>56.690095846645399</v>
      </c>
      <c r="K146" s="9">
        <v>55.520766773162897</v>
      </c>
      <c r="L146" s="9">
        <v>46.130990415335503</v>
      </c>
      <c r="M146" s="9">
        <v>46.303514376996802</v>
      </c>
      <c r="N146" s="9">
        <v>0</v>
      </c>
      <c r="O146" s="9">
        <v>0</v>
      </c>
      <c r="P146" s="9">
        <v>0</v>
      </c>
      <c r="Q146" s="9">
        <v>0</v>
      </c>
      <c r="R146" s="9">
        <v>0</v>
      </c>
      <c r="S146" s="9">
        <v>0</v>
      </c>
      <c r="T146" s="9">
        <v>0</v>
      </c>
      <c r="U146" s="9">
        <v>0</v>
      </c>
      <c r="V146" s="9">
        <v>0</v>
      </c>
      <c r="W146" s="9">
        <v>0</v>
      </c>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9">
        <v>0</v>
      </c>
      <c r="AO146" s="9">
        <v>0</v>
      </c>
      <c r="AP146" s="9">
        <v>0</v>
      </c>
      <c r="AQ146" s="9">
        <v>0</v>
      </c>
      <c r="AR146" s="9">
        <v>0</v>
      </c>
      <c r="AS146" s="9">
        <v>0</v>
      </c>
      <c r="AT146" s="9">
        <v>0</v>
      </c>
      <c r="AU146" s="9">
        <v>0</v>
      </c>
      <c r="AV146" s="9">
        <v>0</v>
      </c>
      <c r="AW146" s="9">
        <v>0</v>
      </c>
      <c r="AX146" s="9">
        <f t="shared" si="51"/>
        <v>483.86884984025568</v>
      </c>
      <c r="AY146" s="9">
        <f t="shared" si="52"/>
        <v>209.74504792332269</v>
      </c>
      <c r="AZ146" s="9">
        <f t="shared" si="53"/>
        <v>0</v>
      </c>
      <c r="BA146" s="9">
        <f t="shared" si="54"/>
        <v>386.81261980830669</v>
      </c>
      <c r="BB146" s="9">
        <f t="shared" si="55"/>
        <v>97.056230031948928</v>
      </c>
      <c r="BC146" s="19"/>
      <c r="BD146" s="9">
        <v>352</v>
      </c>
      <c r="BF146" s="252">
        <v>317</v>
      </c>
      <c r="BH146" s="252">
        <v>51</v>
      </c>
      <c r="BI146" s="252">
        <f t="shared" si="56"/>
        <v>51</v>
      </c>
      <c r="BJ146" s="252">
        <f t="shared" si="45"/>
        <v>460.82747603833872</v>
      </c>
      <c r="BK146" s="256">
        <f t="shared" si="48"/>
        <v>51</v>
      </c>
      <c r="BP146" s="252">
        <v>136</v>
      </c>
      <c r="BQ146" s="252">
        <f t="shared" si="57"/>
        <v>136</v>
      </c>
      <c r="BR146" s="256">
        <f t="shared" si="58"/>
        <v>460.82747603833872</v>
      </c>
      <c r="BS146" s="255">
        <f t="shared" si="49"/>
        <v>136</v>
      </c>
      <c r="BU146" s="252">
        <v>0</v>
      </c>
      <c r="BW146" s="9">
        <v>0</v>
      </c>
      <c r="BX146" s="9">
        <v>60</v>
      </c>
      <c r="BY146" s="9">
        <v>59</v>
      </c>
      <c r="BZ146" s="9">
        <v>60</v>
      </c>
      <c r="CA146" s="9">
        <v>58</v>
      </c>
      <c r="CB146" s="9">
        <v>54</v>
      </c>
      <c r="CC146" s="9">
        <v>60</v>
      </c>
      <c r="CD146" s="9">
        <v>51</v>
      </c>
      <c r="CE146" s="9">
        <v>49</v>
      </c>
      <c r="CF146" s="9">
        <v>42</v>
      </c>
      <c r="CG146" s="9">
        <v>0</v>
      </c>
      <c r="CH146" s="9">
        <v>0</v>
      </c>
      <c r="CI146" s="9">
        <v>0</v>
      </c>
      <c r="CJ146" s="9">
        <v>0</v>
      </c>
      <c r="CK146" s="23">
        <f t="shared" si="59"/>
        <v>463</v>
      </c>
      <c r="CL146">
        <f t="shared" si="60"/>
        <v>207</v>
      </c>
      <c r="CM146">
        <f t="shared" si="61"/>
        <v>0</v>
      </c>
      <c r="CN146" s="23">
        <f t="shared" si="62"/>
        <v>372</v>
      </c>
      <c r="CO146" s="176">
        <f t="shared" si="46"/>
        <v>91</v>
      </c>
      <c r="CQ146" s="23">
        <f t="shared" si="63"/>
        <v>402</v>
      </c>
      <c r="CR146" s="23">
        <f t="shared" si="64"/>
        <v>91</v>
      </c>
    </row>
    <row r="147" spans="1:96" ht="29.25">
      <c r="A147" t="str">
        <f t="shared" si="47"/>
        <v>482</v>
      </c>
      <c r="B147">
        <f t="shared" si="50"/>
        <v>482</v>
      </c>
      <c r="C147" s="14" t="s">
        <v>154</v>
      </c>
      <c r="D147" s="11"/>
      <c r="E147" s="9">
        <f>SUM(47.5907160918491*0.5)</f>
        <v>23.795358045924552</v>
      </c>
      <c r="F147" s="9">
        <v>45.182098765432102</v>
      </c>
      <c r="G147" s="9">
        <v>23.873456790123502</v>
      </c>
      <c r="H147" s="9">
        <v>25.234567901234598</v>
      </c>
      <c r="I147" s="9">
        <v>26.256172839506199</v>
      </c>
      <c r="J147" s="9">
        <v>26.123456790123502</v>
      </c>
      <c r="K147" s="9">
        <v>26.108024691358001</v>
      </c>
      <c r="L147" s="9">
        <v>25.432098765432102</v>
      </c>
      <c r="M147" s="9">
        <v>26.228395061728399</v>
      </c>
      <c r="N147" s="9">
        <v>26.4135802469136</v>
      </c>
      <c r="O147" s="9">
        <v>12.1111111111111</v>
      </c>
      <c r="P147" s="9">
        <v>7.4969135802469102</v>
      </c>
      <c r="Q147" s="9">
        <v>6.9938271604938302</v>
      </c>
      <c r="R147" s="9">
        <v>0</v>
      </c>
      <c r="S147" s="9">
        <v>0</v>
      </c>
      <c r="T147" s="9">
        <v>0</v>
      </c>
      <c r="U147" s="9">
        <v>0</v>
      </c>
      <c r="V147" s="9">
        <v>0</v>
      </c>
      <c r="W147" s="9">
        <v>0</v>
      </c>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9">
        <v>0</v>
      </c>
      <c r="AO147" s="9">
        <v>0</v>
      </c>
      <c r="AP147" s="9">
        <v>0</v>
      </c>
      <c r="AQ147" s="9">
        <v>0</v>
      </c>
      <c r="AR147" s="9">
        <v>0</v>
      </c>
      <c r="AS147" s="9">
        <v>0</v>
      </c>
      <c r="AT147" s="9">
        <v>0</v>
      </c>
      <c r="AU147" s="9">
        <v>0</v>
      </c>
      <c r="AV147" s="9">
        <v>0</v>
      </c>
      <c r="AW147" s="9">
        <v>0</v>
      </c>
      <c r="AX147" s="9">
        <f t="shared" si="51"/>
        <v>316.31151483710983</v>
      </c>
      <c r="AY147" s="9">
        <f t="shared" si="52"/>
        <v>123.9897555778505</v>
      </c>
      <c r="AZ147" s="9">
        <f t="shared" si="53"/>
        <v>55.666203703703708</v>
      </c>
      <c r="BA147" s="9">
        <f t="shared" si="54"/>
        <v>206.40179261488757</v>
      </c>
      <c r="BB147" s="9">
        <f t="shared" si="55"/>
        <v>109.90972222222226</v>
      </c>
      <c r="BC147" s="19"/>
      <c r="BD147" s="9">
        <v>82</v>
      </c>
      <c r="BF147" s="252">
        <v>64</v>
      </c>
      <c r="BH147" s="252">
        <v>24</v>
      </c>
      <c r="BI147" s="252">
        <f t="shared" si="56"/>
        <v>24</v>
      </c>
      <c r="BJ147" s="252">
        <f t="shared" si="45"/>
        <v>301.24906174962837</v>
      </c>
      <c r="BK147" s="256">
        <f t="shared" si="48"/>
        <v>24</v>
      </c>
      <c r="BP147" s="252">
        <v>0</v>
      </c>
      <c r="BQ147" s="252">
        <f t="shared" si="57"/>
        <v>0</v>
      </c>
      <c r="BR147" s="256">
        <f t="shared" si="58"/>
        <v>301.24906174962837</v>
      </c>
      <c r="BS147" s="255">
        <f t="shared" si="49"/>
        <v>0</v>
      </c>
      <c r="BU147" s="252">
        <v>0</v>
      </c>
      <c r="BW147" s="9">
        <v>0</v>
      </c>
      <c r="BX147" s="9">
        <v>47</v>
      </c>
      <c r="BY147" s="9">
        <v>46</v>
      </c>
      <c r="BZ147" s="9">
        <v>48</v>
      </c>
      <c r="CA147" s="9">
        <v>26</v>
      </c>
      <c r="CB147" s="9">
        <v>28</v>
      </c>
      <c r="CC147" s="9">
        <v>28</v>
      </c>
      <c r="CD147" s="9">
        <v>26</v>
      </c>
      <c r="CE147" s="9">
        <v>24</v>
      </c>
      <c r="CF147" s="9">
        <v>26</v>
      </c>
      <c r="CG147" s="9">
        <v>19</v>
      </c>
      <c r="CH147" s="9">
        <v>27</v>
      </c>
      <c r="CI147" s="9">
        <v>12</v>
      </c>
      <c r="CJ147" s="9">
        <v>6</v>
      </c>
      <c r="CK147" s="23">
        <f t="shared" si="59"/>
        <v>339.5</v>
      </c>
      <c r="CL147">
        <f t="shared" si="60"/>
        <v>143.5</v>
      </c>
      <c r="CM147">
        <f t="shared" si="61"/>
        <v>64</v>
      </c>
      <c r="CN147" s="23">
        <f t="shared" si="62"/>
        <v>225.5</v>
      </c>
      <c r="CO147" s="176">
        <f t="shared" si="46"/>
        <v>114</v>
      </c>
      <c r="CQ147" s="23">
        <f t="shared" si="63"/>
        <v>249</v>
      </c>
      <c r="CR147" s="23">
        <f t="shared" si="64"/>
        <v>114</v>
      </c>
    </row>
    <row r="148" spans="1:96" ht="43.5">
      <c r="A148" t="str">
        <f t="shared" si="47"/>
        <v>483</v>
      </c>
      <c r="B148">
        <f t="shared" si="50"/>
        <v>483</v>
      </c>
      <c r="C148" s="14" t="s">
        <v>155</v>
      </c>
      <c r="D148" s="11"/>
      <c r="E148" s="9">
        <f>SUM(16.3967741935484*0.5)</f>
        <v>8.1983870967741996</v>
      </c>
      <c r="F148" s="9">
        <v>12.754838709677401</v>
      </c>
      <c r="G148" s="9">
        <v>15.3161290322581</v>
      </c>
      <c r="H148" s="9">
        <v>10.1354838709677</v>
      </c>
      <c r="I148" s="9">
        <v>13.2870967741935</v>
      </c>
      <c r="J148" s="9">
        <v>8.4516129032258096</v>
      </c>
      <c r="K148" s="9">
        <v>5.2193548387096804</v>
      </c>
      <c r="L148" s="9">
        <v>0</v>
      </c>
      <c r="M148" s="9">
        <v>0</v>
      </c>
      <c r="N148" s="9">
        <v>0</v>
      </c>
      <c r="O148" s="9">
        <v>0</v>
      </c>
      <c r="P148" s="9">
        <v>0</v>
      </c>
      <c r="Q148" s="9">
        <v>0</v>
      </c>
      <c r="R148" s="9">
        <v>0</v>
      </c>
      <c r="S148" s="9">
        <v>0</v>
      </c>
      <c r="T148" s="9">
        <v>0</v>
      </c>
      <c r="U148" s="9">
        <v>0</v>
      </c>
      <c r="V148" s="9">
        <v>0</v>
      </c>
      <c r="W148" s="9">
        <v>0</v>
      </c>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9">
        <v>0</v>
      </c>
      <c r="AO148" s="9">
        <v>0</v>
      </c>
      <c r="AP148" s="9">
        <v>0</v>
      </c>
      <c r="AQ148" s="9">
        <v>0</v>
      </c>
      <c r="AR148" s="9">
        <v>0</v>
      </c>
      <c r="AS148" s="9">
        <v>0</v>
      </c>
      <c r="AT148" s="9">
        <v>0</v>
      </c>
      <c r="AU148" s="9">
        <v>0</v>
      </c>
      <c r="AV148" s="9">
        <v>0</v>
      </c>
      <c r="AW148" s="9">
        <v>0</v>
      </c>
      <c r="AX148" s="9">
        <f t="shared" si="51"/>
        <v>77.031048387096718</v>
      </c>
      <c r="AY148" s="9">
        <f t="shared" si="52"/>
        <v>48.725080645161277</v>
      </c>
      <c r="AZ148" s="9">
        <f t="shared" si="53"/>
        <v>0</v>
      </c>
      <c r="BA148" s="9">
        <f t="shared" si="54"/>
        <v>77.031048387096718</v>
      </c>
      <c r="BB148" s="9">
        <f t="shared" si="55"/>
        <v>0</v>
      </c>
      <c r="BC148" s="19"/>
      <c r="BD148" s="9">
        <v>67</v>
      </c>
      <c r="BF148" s="257">
        <v>36.979999999999997</v>
      </c>
      <c r="BH148" s="252">
        <v>21</v>
      </c>
      <c r="BI148" s="252">
        <f t="shared" si="56"/>
        <v>21</v>
      </c>
      <c r="BJ148" s="252">
        <f t="shared" si="45"/>
        <v>73.362903225806392</v>
      </c>
      <c r="BK148" s="256">
        <f t="shared" si="48"/>
        <v>21</v>
      </c>
      <c r="BP148" s="252">
        <v>0</v>
      </c>
      <c r="BQ148" s="252">
        <f t="shared" si="57"/>
        <v>0</v>
      </c>
      <c r="BR148" s="256">
        <f t="shared" si="58"/>
        <v>73.362903225806392</v>
      </c>
      <c r="BS148" s="255">
        <f t="shared" si="49"/>
        <v>0</v>
      </c>
      <c r="BU148" s="252">
        <v>0</v>
      </c>
      <c r="BW148" s="9">
        <v>0</v>
      </c>
      <c r="BX148" s="9">
        <v>17</v>
      </c>
      <c r="BY148" s="9">
        <v>19</v>
      </c>
      <c r="BZ148" s="9">
        <v>9</v>
      </c>
      <c r="CA148" s="9">
        <v>12</v>
      </c>
      <c r="CB148" s="9">
        <v>7</v>
      </c>
      <c r="CC148" s="9">
        <v>14</v>
      </c>
      <c r="CD148" s="9">
        <v>5</v>
      </c>
      <c r="CE148" s="9">
        <v>3</v>
      </c>
      <c r="CF148" s="9">
        <v>0</v>
      </c>
      <c r="CG148" s="9">
        <v>0</v>
      </c>
      <c r="CH148" s="9">
        <v>0</v>
      </c>
      <c r="CI148" s="9">
        <v>0</v>
      </c>
      <c r="CJ148" s="9">
        <v>0</v>
      </c>
      <c r="CK148" s="23">
        <f t="shared" si="59"/>
        <v>77.5</v>
      </c>
      <c r="CL148">
        <f t="shared" si="60"/>
        <v>48.5</v>
      </c>
      <c r="CM148">
        <f t="shared" si="61"/>
        <v>0</v>
      </c>
      <c r="CN148" s="23">
        <f t="shared" si="62"/>
        <v>74.5</v>
      </c>
      <c r="CO148" s="176">
        <f t="shared" si="46"/>
        <v>3</v>
      </c>
      <c r="CQ148" s="23">
        <f t="shared" si="63"/>
        <v>83</v>
      </c>
      <c r="CR148" s="23">
        <f t="shared" si="64"/>
        <v>3</v>
      </c>
    </row>
    <row r="149" spans="1:96" ht="29.25">
      <c r="A149" t="str">
        <f t="shared" si="47"/>
        <v>485</v>
      </c>
      <c r="B149">
        <f t="shared" si="50"/>
        <v>485</v>
      </c>
      <c r="C149" s="15" t="s">
        <v>156</v>
      </c>
      <c r="D149" s="11"/>
      <c r="E149" s="9">
        <f>SUM(0*0.5)</f>
        <v>0</v>
      </c>
      <c r="F149" s="9">
        <v>0</v>
      </c>
      <c r="G149" s="9">
        <v>0</v>
      </c>
      <c r="H149" s="9">
        <v>0</v>
      </c>
      <c r="I149" s="9">
        <v>0</v>
      </c>
      <c r="J149" s="9">
        <v>0</v>
      </c>
      <c r="K149" s="9">
        <v>0</v>
      </c>
      <c r="L149" s="9">
        <v>0</v>
      </c>
      <c r="M149" s="9">
        <v>0</v>
      </c>
      <c r="N149" s="9">
        <v>29.3819444444444</v>
      </c>
      <c r="O149" s="9">
        <v>27.78125</v>
      </c>
      <c r="P149" s="9">
        <v>25.3854166666667</v>
      </c>
      <c r="Q149" s="9">
        <v>27.4340277777778</v>
      </c>
      <c r="R149" s="9">
        <v>0</v>
      </c>
      <c r="S149" s="9">
        <v>0</v>
      </c>
      <c r="T149" s="9">
        <v>0</v>
      </c>
      <c r="U149" s="9">
        <v>0</v>
      </c>
      <c r="V149" s="9">
        <v>0</v>
      </c>
      <c r="W149" s="9">
        <v>0</v>
      </c>
      <c r="X149" s="9">
        <v>0</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9">
        <v>0</v>
      </c>
      <c r="AO149" s="9">
        <v>0</v>
      </c>
      <c r="AP149" s="9">
        <v>0</v>
      </c>
      <c r="AQ149" s="9">
        <v>0</v>
      </c>
      <c r="AR149" s="9">
        <v>0</v>
      </c>
      <c r="AS149" s="9">
        <v>0</v>
      </c>
      <c r="AT149" s="9">
        <v>0</v>
      </c>
      <c r="AU149" s="9">
        <v>0</v>
      </c>
      <c r="AV149" s="9">
        <v>0</v>
      </c>
      <c r="AW149" s="9">
        <v>0</v>
      </c>
      <c r="AX149" s="9">
        <f t="shared" si="51"/>
        <v>115.48177083333334</v>
      </c>
      <c r="AY149" s="9">
        <f t="shared" si="52"/>
        <v>0</v>
      </c>
      <c r="AZ149" s="9">
        <f t="shared" si="53"/>
        <v>115.48177083333334</v>
      </c>
      <c r="BA149" s="9">
        <f t="shared" si="54"/>
        <v>0</v>
      </c>
      <c r="BB149" s="9">
        <f t="shared" si="55"/>
        <v>115.48177083333334</v>
      </c>
      <c r="BC149" s="19"/>
      <c r="BD149" s="9">
        <v>62</v>
      </c>
      <c r="BF149" s="252">
        <v>57</v>
      </c>
      <c r="BH149" s="252">
        <v>6</v>
      </c>
      <c r="BI149" s="252">
        <f t="shared" si="56"/>
        <v>6</v>
      </c>
      <c r="BJ149" s="252">
        <f t="shared" si="45"/>
        <v>109.9826388888889</v>
      </c>
      <c r="BK149" s="256">
        <f t="shared" si="48"/>
        <v>6</v>
      </c>
      <c r="BP149" s="252">
        <v>0</v>
      </c>
      <c r="BQ149" s="252">
        <f t="shared" si="57"/>
        <v>0</v>
      </c>
      <c r="BR149" s="256">
        <f t="shared" si="58"/>
        <v>109.9826388888889</v>
      </c>
      <c r="BS149" s="255">
        <f t="shared" si="49"/>
        <v>0</v>
      </c>
      <c r="BU149" s="252">
        <v>0</v>
      </c>
      <c r="BW149" s="9">
        <v>0</v>
      </c>
      <c r="BX149" s="9">
        <v>0</v>
      </c>
      <c r="BY149" s="9">
        <v>0</v>
      </c>
      <c r="BZ149" s="9">
        <v>0</v>
      </c>
      <c r="CA149" s="9">
        <v>0</v>
      </c>
      <c r="CB149" s="9">
        <v>0</v>
      </c>
      <c r="CC149" s="9">
        <v>0</v>
      </c>
      <c r="CD149" s="9">
        <v>0</v>
      </c>
      <c r="CE149" s="9">
        <v>0</v>
      </c>
      <c r="CF149" s="9">
        <v>0</v>
      </c>
      <c r="CG149" s="9">
        <v>34</v>
      </c>
      <c r="CH149" s="9">
        <v>35</v>
      </c>
      <c r="CI149" s="9">
        <v>25</v>
      </c>
      <c r="CJ149" s="9">
        <v>24</v>
      </c>
      <c r="CK149" s="23">
        <f t="shared" si="59"/>
        <v>118</v>
      </c>
      <c r="CL149">
        <f t="shared" si="60"/>
        <v>0</v>
      </c>
      <c r="CM149">
        <f t="shared" si="61"/>
        <v>118</v>
      </c>
      <c r="CN149" s="23">
        <f t="shared" si="62"/>
        <v>0</v>
      </c>
      <c r="CO149" s="176">
        <f t="shared" si="46"/>
        <v>118</v>
      </c>
      <c r="CQ149" s="23">
        <f t="shared" si="63"/>
        <v>0</v>
      </c>
      <c r="CR149" s="23">
        <f t="shared" si="64"/>
        <v>118</v>
      </c>
    </row>
    <row r="150" spans="1:96" ht="29.25">
      <c r="A150" t="str">
        <f t="shared" si="47"/>
        <v>486</v>
      </c>
      <c r="B150">
        <f t="shared" si="50"/>
        <v>486</v>
      </c>
      <c r="C150" s="15" t="s">
        <v>157</v>
      </c>
      <c r="D150" s="11"/>
      <c r="E150" s="9">
        <f>SUM(10.5833333333333*0.5)</f>
        <v>5.2916666666666501</v>
      </c>
      <c r="F150" s="9">
        <v>10.7651515151515</v>
      </c>
      <c r="G150" s="9">
        <v>10.6515151515152</v>
      </c>
      <c r="H150" s="9">
        <v>9.6515151515151505</v>
      </c>
      <c r="I150" s="9">
        <v>10.0378787878788</v>
      </c>
      <c r="J150" s="9">
        <v>9.6439393939393891</v>
      </c>
      <c r="K150" s="9">
        <v>11.0643939393939</v>
      </c>
      <c r="L150" s="9">
        <v>10.696969696969701</v>
      </c>
      <c r="M150" s="9">
        <v>6.9545454545454497</v>
      </c>
      <c r="N150" s="9">
        <v>5.3928571428571397</v>
      </c>
      <c r="O150" s="9">
        <v>4.5392857142857101</v>
      </c>
      <c r="P150" s="9">
        <v>4.53571428571429</v>
      </c>
      <c r="Q150" s="9">
        <v>2.6392857142857098</v>
      </c>
      <c r="R150" s="9">
        <v>0</v>
      </c>
      <c r="S150" s="9">
        <v>0</v>
      </c>
      <c r="T150" s="9">
        <v>0</v>
      </c>
      <c r="U150" s="9">
        <v>0</v>
      </c>
      <c r="V150" s="9">
        <v>0</v>
      </c>
      <c r="W150" s="9">
        <v>0</v>
      </c>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9">
        <v>0</v>
      </c>
      <c r="AO150" s="9">
        <v>0</v>
      </c>
      <c r="AP150" s="9">
        <v>0</v>
      </c>
      <c r="AQ150" s="9">
        <v>0</v>
      </c>
      <c r="AR150" s="9">
        <v>0</v>
      </c>
      <c r="AS150" s="9">
        <v>0</v>
      </c>
      <c r="AT150" s="9">
        <v>0</v>
      </c>
      <c r="AU150" s="9">
        <v>0</v>
      </c>
      <c r="AV150" s="9">
        <v>0</v>
      </c>
      <c r="AW150" s="9">
        <v>0</v>
      </c>
      <c r="AX150" s="9">
        <f t="shared" si="51"/>
        <v>106.95795454545451</v>
      </c>
      <c r="AY150" s="9">
        <f t="shared" si="52"/>
        <v>38.177840909090925</v>
      </c>
      <c r="AZ150" s="9">
        <f t="shared" si="53"/>
        <v>17.962499999999995</v>
      </c>
      <c r="BA150" s="9">
        <f t="shared" si="54"/>
        <v>70.461363636363615</v>
      </c>
      <c r="BB150" s="9">
        <f t="shared" si="55"/>
        <v>36.496590909090905</v>
      </c>
      <c r="BC150" s="19"/>
      <c r="BD150" s="9">
        <v>68</v>
      </c>
      <c r="BF150" s="257">
        <v>43.43</v>
      </c>
      <c r="BH150" s="252" t="e">
        <v>#N/A</v>
      </c>
      <c r="BI150" s="252" t="str">
        <f t="shared" si="56"/>
        <v/>
      </c>
      <c r="BJ150" s="252" t="str">
        <f t="shared" si="45"/>
        <v/>
      </c>
      <c r="BK150" s="256">
        <f t="shared" si="48"/>
        <v>12.637640103687664</v>
      </c>
      <c r="BP150" s="252">
        <v>0</v>
      </c>
      <c r="BQ150" s="252">
        <f t="shared" si="57"/>
        <v>0</v>
      </c>
      <c r="BR150" s="256">
        <f t="shared" si="58"/>
        <v>101.86471861471858</v>
      </c>
      <c r="BS150" s="255">
        <f t="shared" si="49"/>
        <v>0</v>
      </c>
      <c r="BU150" s="252">
        <v>0</v>
      </c>
      <c r="BW150" s="9">
        <v>0</v>
      </c>
      <c r="BX150" s="9">
        <v>13</v>
      </c>
      <c r="BY150" s="9">
        <v>12</v>
      </c>
      <c r="BZ150" s="9">
        <v>13</v>
      </c>
      <c r="CA150" s="9">
        <v>12</v>
      </c>
      <c r="CB150" s="9">
        <v>10</v>
      </c>
      <c r="CC150" s="9">
        <v>12</v>
      </c>
      <c r="CD150" s="9">
        <v>11</v>
      </c>
      <c r="CE150" s="9">
        <v>10</v>
      </c>
      <c r="CF150" s="9">
        <v>8</v>
      </c>
      <c r="CG150" s="9">
        <v>0</v>
      </c>
      <c r="CH150" s="9">
        <v>0</v>
      </c>
      <c r="CI150" s="9">
        <v>0</v>
      </c>
      <c r="CJ150" s="9">
        <v>0</v>
      </c>
      <c r="CK150" s="23">
        <f t="shared" si="59"/>
        <v>94.5</v>
      </c>
      <c r="CL150">
        <f t="shared" si="60"/>
        <v>43.5</v>
      </c>
      <c r="CM150">
        <f t="shared" si="61"/>
        <v>0</v>
      </c>
      <c r="CN150" s="23">
        <f t="shared" si="62"/>
        <v>76.5</v>
      </c>
      <c r="CO150" s="176">
        <f t="shared" si="46"/>
        <v>18</v>
      </c>
      <c r="CQ150" s="23">
        <f t="shared" si="63"/>
        <v>83</v>
      </c>
      <c r="CR150" s="23">
        <f t="shared" si="64"/>
        <v>18</v>
      </c>
    </row>
    <row r="151" spans="1:96" ht="29.25">
      <c r="A151" t="str">
        <f t="shared" si="47"/>
        <v>487</v>
      </c>
      <c r="B151">
        <f t="shared" si="50"/>
        <v>487</v>
      </c>
      <c r="C151" s="15" t="s">
        <v>158</v>
      </c>
      <c r="D151" s="11"/>
      <c r="E151" s="9">
        <f>SUM(0*0.5)</f>
        <v>0</v>
      </c>
      <c r="F151" s="9">
        <v>0</v>
      </c>
      <c r="G151" s="9">
        <v>0</v>
      </c>
      <c r="H151" s="9">
        <v>0</v>
      </c>
      <c r="I151" s="9">
        <v>0</v>
      </c>
      <c r="J151" s="9">
        <v>0</v>
      </c>
      <c r="K151" s="9">
        <v>37.263636363636401</v>
      </c>
      <c r="L151" s="9">
        <v>47.781818181818203</v>
      </c>
      <c r="M151" s="9">
        <v>52.721212121212098</v>
      </c>
      <c r="N151" s="9">
        <v>55.127272727272697</v>
      </c>
      <c r="O151" s="9">
        <v>49.512121212121201</v>
      </c>
      <c r="P151" s="9">
        <v>36.375757575757603</v>
      </c>
      <c r="Q151" s="9">
        <v>44.769696969697002</v>
      </c>
      <c r="R151" s="9">
        <v>0</v>
      </c>
      <c r="S151" s="9">
        <v>0</v>
      </c>
      <c r="T151" s="9">
        <v>0</v>
      </c>
      <c r="U151" s="9">
        <v>0</v>
      </c>
      <c r="V151" s="9">
        <v>0</v>
      </c>
      <c r="W151" s="9">
        <v>0</v>
      </c>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9">
        <v>0</v>
      </c>
      <c r="AS151" s="9">
        <v>0</v>
      </c>
      <c r="AT151" s="9">
        <v>0</v>
      </c>
      <c r="AU151" s="9">
        <v>0</v>
      </c>
      <c r="AV151" s="9">
        <v>0</v>
      </c>
      <c r="AW151" s="9">
        <v>0</v>
      </c>
      <c r="AX151" s="9">
        <f t="shared" si="51"/>
        <v>339.72909090909098</v>
      </c>
      <c r="AY151" s="9">
        <f t="shared" si="52"/>
        <v>0</v>
      </c>
      <c r="AZ151" s="9">
        <f t="shared" si="53"/>
        <v>195.07409090909096</v>
      </c>
      <c r="BA151" s="9">
        <f t="shared" si="54"/>
        <v>39.126818181818223</v>
      </c>
      <c r="BB151" s="9">
        <f t="shared" si="55"/>
        <v>300.60227272727275</v>
      </c>
      <c r="BC151" s="19"/>
      <c r="BD151" s="9">
        <v>151</v>
      </c>
      <c r="BF151" s="252">
        <v>113</v>
      </c>
      <c r="BH151" s="252">
        <v>40</v>
      </c>
      <c r="BI151" s="252">
        <f t="shared" si="56"/>
        <v>40</v>
      </c>
      <c r="BJ151" s="252">
        <f t="shared" si="45"/>
        <v>323.55151515151522</v>
      </c>
      <c r="BK151" s="256">
        <f t="shared" si="48"/>
        <v>40</v>
      </c>
      <c r="BP151" s="252">
        <v>0</v>
      </c>
      <c r="BQ151" s="252">
        <f t="shared" si="57"/>
        <v>0</v>
      </c>
      <c r="BR151" s="256">
        <f t="shared" si="58"/>
        <v>323.55151515151522</v>
      </c>
      <c r="BS151" s="255">
        <f t="shared" si="49"/>
        <v>0</v>
      </c>
      <c r="BU151" s="252">
        <v>39</v>
      </c>
      <c r="BW151" s="9">
        <v>0</v>
      </c>
      <c r="BX151" s="9">
        <v>0</v>
      </c>
      <c r="BY151" s="9">
        <v>0</v>
      </c>
      <c r="BZ151" s="9">
        <v>0</v>
      </c>
      <c r="CA151" s="9">
        <v>0</v>
      </c>
      <c r="CB151" s="9">
        <v>0</v>
      </c>
      <c r="CC151" s="9">
        <v>0</v>
      </c>
      <c r="CD151" s="9">
        <v>37</v>
      </c>
      <c r="CE151" s="9">
        <v>50</v>
      </c>
      <c r="CF151" s="9">
        <v>50</v>
      </c>
      <c r="CG151" s="9">
        <v>48</v>
      </c>
      <c r="CH151" s="9">
        <v>49</v>
      </c>
      <c r="CI151" s="9">
        <v>48</v>
      </c>
      <c r="CJ151" s="9">
        <v>36</v>
      </c>
      <c r="CK151" s="23">
        <f t="shared" si="59"/>
        <v>318</v>
      </c>
      <c r="CL151">
        <f t="shared" si="60"/>
        <v>0</v>
      </c>
      <c r="CM151">
        <f t="shared" si="61"/>
        <v>181</v>
      </c>
      <c r="CN151" s="23">
        <f t="shared" si="62"/>
        <v>37</v>
      </c>
      <c r="CO151" s="176">
        <f t="shared" si="46"/>
        <v>281</v>
      </c>
      <c r="CQ151" s="23">
        <f t="shared" si="63"/>
        <v>37</v>
      </c>
      <c r="CR151" s="23">
        <f t="shared" si="64"/>
        <v>281</v>
      </c>
    </row>
    <row r="152" spans="1:96" ht="29.25">
      <c r="A152" t="str">
        <f t="shared" si="47"/>
        <v>488</v>
      </c>
      <c r="B152">
        <f t="shared" si="50"/>
        <v>488</v>
      </c>
      <c r="C152" s="15" t="s">
        <v>159</v>
      </c>
      <c r="D152" s="11"/>
      <c r="E152" s="9">
        <f>SUM(14.3475609756098*0.5)</f>
        <v>7.1737804878049003</v>
      </c>
      <c r="F152" s="9">
        <v>16.231707317073202</v>
      </c>
      <c r="G152" s="9">
        <v>13.7134146341463</v>
      </c>
      <c r="H152" s="9">
        <v>25.021341463414601</v>
      </c>
      <c r="I152" s="9">
        <v>17.064024390243901</v>
      </c>
      <c r="J152" s="9">
        <v>18.4634146341463</v>
      </c>
      <c r="K152" s="9">
        <v>14.850609756097599</v>
      </c>
      <c r="L152" s="9">
        <v>0</v>
      </c>
      <c r="M152" s="9">
        <v>0</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9">
        <v>0</v>
      </c>
      <c r="AO152" s="9">
        <v>0</v>
      </c>
      <c r="AP152" s="9">
        <v>0</v>
      </c>
      <c r="AQ152" s="9">
        <v>0</v>
      </c>
      <c r="AR152" s="9">
        <v>0</v>
      </c>
      <c r="AS152" s="9">
        <v>0</v>
      </c>
      <c r="AT152" s="9">
        <v>0</v>
      </c>
      <c r="AU152" s="9">
        <v>0</v>
      </c>
      <c r="AV152" s="9">
        <v>0</v>
      </c>
      <c r="AW152" s="9">
        <v>0</v>
      </c>
      <c r="AX152" s="9">
        <f t="shared" si="51"/>
        <v>118.14420731707315</v>
      </c>
      <c r="AY152" s="9">
        <f t="shared" si="52"/>
        <v>65.24725609756095</v>
      </c>
      <c r="AZ152" s="9">
        <f t="shared" si="53"/>
        <v>0</v>
      </c>
      <c r="BA152" s="9">
        <f t="shared" si="54"/>
        <v>118.14420731707315</v>
      </c>
      <c r="BB152" s="9">
        <f t="shared" si="55"/>
        <v>0</v>
      </c>
      <c r="BC152" s="19"/>
      <c r="BD152" s="9">
        <v>56</v>
      </c>
      <c r="BF152" s="252">
        <v>57</v>
      </c>
      <c r="BH152" s="252">
        <v>11</v>
      </c>
      <c r="BI152" s="252">
        <f t="shared" si="56"/>
        <v>11</v>
      </c>
      <c r="BJ152" s="252">
        <f t="shared" si="45"/>
        <v>112.51829268292681</v>
      </c>
      <c r="BK152" s="256">
        <f t="shared" si="48"/>
        <v>11</v>
      </c>
      <c r="BP152" s="252" t="s">
        <v>239</v>
      </c>
      <c r="BQ152" s="252" t="str">
        <f t="shared" si="57"/>
        <v/>
      </c>
      <c r="BR152" s="256" t="str">
        <f t="shared" si="58"/>
        <v/>
      </c>
      <c r="BS152" s="255">
        <f t="shared" si="49"/>
        <v>10.105932616873245</v>
      </c>
      <c r="BU152" s="252">
        <v>0</v>
      </c>
      <c r="BW152" s="9">
        <v>0</v>
      </c>
      <c r="BX152" s="9">
        <v>15</v>
      </c>
      <c r="BY152" s="9">
        <v>16</v>
      </c>
      <c r="BZ152" s="9">
        <v>8</v>
      </c>
      <c r="CA152" s="9">
        <v>16</v>
      </c>
      <c r="CB152" s="9">
        <v>22</v>
      </c>
      <c r="CC152" s="9">
        <v>16</v>
      </c>
      <c r="CD152" s="9">
        <v>11</v>
      </c>
      <c r="CE152" s="9">
        <v>7</v>
      </c>
      <c r="CF152" s="9">
        <v>0</v>
      </c>
      <c r="CG152" s="9">
        <v>0</v>
      </c>
      <c r="CH152" s="9">
        <v>0</v>
      </c>
      <c r="CI152" s="9">
        <v>0</v>
      </c>
      <c r="CJ152" s="9">
        <v>0</v>
      </c>
      <c r="CK152" s="23">
        <f t="shared" si="59"/>
        <v>103.5</v>
      </c>
      <c r="CL152">
        <f t="shared" si="60"/>
        <v>47.5</v>
      </c>
      <c r="CM152">
        <f t="shared" si="61"/>
        <v>0</v>
      </c>
      <c r="CN152" s="23">
        <f t="shared" si="62"/>
        <v>96.5</v>
      </c>
      <c r="CO152" s="176">
        <f t="shared" si="46"/>
        <v>7</v>
      </c>
      <c r="CQ152" s="23">
        <f t="shared" si="63"/>
        <v>104</v>
      </c>
      <c r="CR152" s="23">
        <f t="shared" si="64"/>
        <v>7</v>
      </c>
    </row>
    <row r="153" spans="1:96" ht="29.25">
      <c r="A153" t="str">
        <f t="shared" si="47"/>
        <v>489</v>
      </c>
      <c r="B153">
        <f t="shared" si="50"/>
        <v>489</v>
      </c>
      <c r="C153" s="14" t="s">
        <v>160</v>
      </c>
      <c r="D153" s="11"/>
      <c r="E153" s="9">
        <f>SUM(0*0.5)</f>
        <v>0</v>
      </c>
      <c r="F153" s="9">
        <v>0</v>
      </c>
      <c r="G153" s="9">
        <v>0</v>
      </c>
      <c r="H153" s="9">
        <v>0</v>
      </c>
      <c r="I153" s="9">
        <v>0</v>
      </c>
      <c r="J153" s="9">
        <v>0</v>
      </c>
      <c r="K153" s="9">
        <v>0</v>
      </c>
      <c r="L153" s="9">
        <v>0</v>
      </c>
      <c r="M153" s="9">
        <v>0</v>
      </c>
      <c r="N153" s="9">
        <v>26.920118343195298</v>
      </c>
      <c r="O153" s="9">
        <v>29.819526627218899</v>
      </c>
      <c r="P153" s="9">
        <v>29.9526627218935</v>
      </c>
      <c r="Q153" s="9">
        <v>19.541420118343201</v>
      </c>
      <c r="R153" s="9">
        <v>0</v>
      </c>
      <c r="S153" s="9">
        <v>0</v>
      </c>
      <c r="T153" s="9">
        <v>0</v>
      </c>
      <c r="U153" s="9">
        <v>0</v>
      </c>
      <c r="V153" s="9">
        <v>0</v>
      </c>
      <c r="W153" s="9">
        <v>0</v>
      </c>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9">
        <v>0</v>
      </c>
      <c r="AO153" s="9">
        <v>0</v>
      </c>
      <c r="AP153" s="9">
        <v>0</v>
      </c>
      <c r="AQ153" s="9">
        <v>0</v>
      </c>
      <c r="AR153" s="9">
        <v>0</v>
      </c>
      <c r="AS153" s="9">
        <v>0</v>
      </c>
      <c r="AT153" s="9">
        <v>0</v>
      </c>
      <c r="AU153" s="9">
        <v>0</v>
      </c>
      <c r="AV153" s="9">
        <v>0</v>
      </c>
      <c r="AW153" s="9">
        <v>0</v>
      </c>
      <c r="AX153" s="9">
        <f t="shared" si="51"/>
        <v>111.54541420118343</v>
      </c>
      <c r="AY153" s="9">
        <f t="shared" si="52"/>
        <v>0</v>
      </c>
      <c r="AZ153" s="9">
        <f t="shared" si="53"/>
        <v>111.54541420118343</v>
      </c>
      <c r="BA153" s="9">
        <f t="shared" si="54"/>
        <v>0</v>
      </c>
      <c r="BB153" s="9">
        <f t="shared" si="55"/>
        <v>111.54541420118343</v>
      </c>
      <c r="BC153" s="19"/>
      <c r="BD153" s="9">
        <v>44</v>
      </c>
      <c r="BF153" s="252">
        <v>64</v>
      </c>
      <c r="BH153" s="252">
        <v>8</v>
      </c>
      <c r="BI153" s="252">
        <f t="shared" si="56"/>
        <v>8</v>
      </c>
      <c r="BJ153" s="252">
        <f t="shared" si="45"/>
        <v>106.23372781065089</v>
      </c>
      <c r="BK153" s="256">
        <f t="shared" si="48"/>
        <v>8</v>
      </c>
      <c r="BP153" s="252">
        <v>0</v>
      </c>
      <c r="BQ153" s="252">
        <f t="shared" si="57"/>
        <v>0</v>
      </c>
      <c r="BR153" s="256">
        <f t="shared" si="58"/>
        <v>106.23372781065089</v>
      </c>
      <c r="BS153" s="255">
        <f t="shared" si="49"/>
        <v>0</v>
      </c>
      <c r="BU153" s="252">
        <v>0</v>
      </c>
      <c r="BW153" s="9">
        <v>0</v>
      </c>
      <c r="BX153" s="9">
        <v>0</v>
      </c>
      <c r="BY153" s="9">
        <v>0</v>
      </c>
      <c r="BZ153" s="9">
        <v>0</v>
      </c>
      <c r="CA153" s="9">
        <v>0</v>
      </c>
      <c r="CB153" s="9">
        <v>0</v>
      </c>
      <c r="CC153" s="9">
        <v>0</v>
      </c>
      <c r="CD153" s="9">
        <v>0</v>
      </c>
      <c r="CE153" s="9">
        <v>0</v>
      </c>
      <c r="CF153" s="9">
        <v>0</v>
      </c>
      <c r="CG153" s="9">
        <v>30</v>
      </c>
      <c r="CH153" s="9">
        <v>37</v>
      </c>
      <c r="CI153" s="9">
        <v>37</v>
      </c>
      <c r="CJ153" s="9">
        <v>32</v>
      </c>
      <c r="CK153" s="23">
        <f t="shared" si="59"/>
        <v>136</v>
      </c>
      <c r="CL153">
        <f t="shared" si="60"/>
        <v>0</v>
      </c>
      <c r="CM153">
        <f t="shared" si="61"/>
        <v>136</v>
      </c>
      <c r="CN153" s="23">
        <f t="shared" si="62"/>
        <v>0</v>
      </c>
      <c r="CO153" s="176">
        <f t="shared" si="46"/>
        <v>136</v>
      </c>
      <c r="CQ153" s="23">
        <f t="shared" si="63"/>
        <v>0</v>
      </c>
      <c r="CR153" s="23">
        <f t="shared" si="64"/>
        <v>136</v>
      </c>
    </row>
    <row r="154" spans="1:96" ht="43.5">
      <c r="A154" t="str">
        <f t="shared" si="47"/>
        <v>490</v>
      </c>
      <c r="B154">
        <f t="shared" si="50"/>
        <v>490</v>
      </c>
      <c r="C154" s="15" t="s">
        <v>161</v>
      </c>
      <c r="D154" s="11"/>
      <c r="E154" s="9">
        <f>SUM(36.7912087912088*0.5)</f>
        <v>18.395604395604401</v>
      </c>
      <c r="F154" s="9">
        <v>26.598901098901099</v>
      </c>
      <c r="G154" s="9">
        <v>41.417582417582402</v>
      </c>
      <c r="H154" s="9">
        <v>28.953296703296701</v>
      </c>
      <c r="I154" s="9">
        <v>31.148351648351699</v>
      </c>
      <c r="J154" s="9">
        <v>26.1758241758242</v>
      </c>
      <c r="K154" s="9">
        <v>44.310439560439598</v>
      </c>
      <c r="L154" s="9">
        <v>49.098901098901102</v>
      </c>
      <c r="M154" s="9">
        <v>66.019230769230802</v>
      </c>
      <c r="N154" s="9">
        <v>52.615384615384599</v>
      </c>
      <c r="O154" s="9">
        <v>39.030219780219802</v>
      </c>
      <c r="P154" s="9">
        <v>52.618131868131897</v>
      </c>
      <c r="Q154" s="9">
        <v>43.0906593406593</v>
      </c>
      <c r="R154" s="9">
        <v>0</v>
      </c>
      <c r="S154" s="9">
        <v>0</v>
      </c>
      <c r="T154" s="9">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9">
        <v>0</v>
      </c>
      <c r="AO154" s="9">
        <v>0</v>
      </c>
      <c r="AP154" s="9">
        <v>0</v>
      </c>
      <c r="AQ154" s="9">
        <v>0</v>
      </c>
      <c r="AR154" s="9">
        <v>0</v>
      </c>
      <c r="AS154" s="9">
        <v>0</v>
      </c>
      <c r="AT154" s="9">
        <v>0</v>
      </c>
      <c r="AU154" s="9">
        <v>0</v>
      </c>
      <c r="AV154" s="9">
        <v>0</v>
      </c>
      <c r="AW154" s="9">
        <v>0</v>
      </c>
      <c r="AX154" s="9">
        <f t="shared" si="51"/>
        <v>545.44615384615395</v>
      </c>
      <c r="AY154" s="9">
        <f t="shared" si="52"/>
        <v>121.13365384615385</v>
      </c>
      <c r="AZ154" s="9">
        <f t="shared" si="53"/>
        <v>196.72211538461539</v>
      </c>
      <c r="BA154" s="9">
        <f t="shared" si="54"/>
        <v>227.85000000000014</v>
      </c>
      <c r="BB154" s="9">
        <f t="shared" si="55"/>
        <v>317.59615384615392</v>
      </c>
      <c r="BC154" s="19"/>
      <c r="BD154" s="9">
        <v>262</v>
      </c>
      <c r="BF154" s="252">
        <v>215</v>
      </c>
      <c r="BH154" s="252">
        <v>36</v>
      </c>
      <c r="BI154" s="252">
        <f t="shared" si="56"/>
        <v>36</v>
      </c>
      <c r="BJ154" s="252">
        <f t="shared" si="45"/>
        <v>519.47252747252753</v>
      </c>
      <c r="BK154" s="256">
        <f t="shared" si="48"/>
        <v>36</v>
      </c>
      <c r="BP154" s="252" t="s">
        <v>239</v>
      </c>
      <c r="BQ154" s="252" t="str">
        <f t="shared" si="57"/>
        <v/>
      </c>
      <c r="BR154" s="256" t="str">
        <f t="shared" si="58"/>
        <v/>
      </c>
      <c r="BS154" s="255">
        <f t="shared" si="49"/>
        <v>46.656896703435152</v>
      </c>
      <c r="BU154" s="252">
        <v>9</v>
      </c>
      <c r="BW154" s="9">
        <v>0</v>
      </c>
      <c r="BX154" s="9">
        <v>16</v>
      </c>
      <c r="BY154" s="9">
        <v>23</v>
      </c>
      <c r="BZ154" s="9">
        <v>9</v>
      </c>
      <c r="CA154" s="9">
        <v>23</v>
      </c>
      <c r="CB154" s="9">
        <v>14</v>
      </c>
      <c r="CC154" s="9">
        <v>19</v>
      </c>
      <c r="CD154" s="9">
        <v>23</v>
      </c>
      <c r="CE154" s="9">
        <v>51</v>
      </c>
      <c r="CF154" s="9">
        <v>71</v>
      </c>
      <c r="CG154" s="9">
        <v>57</v>
      </c>
      <c r="CH154" s="9">
        <v>56</v>
      </c>
      <c r="CI154" s="9">
        <v>51</v>
      </c>
      <c r="CJ154" s="9">
        <v>46</v>
      </c>
      <c r="CK154" s="23">
        <f t="shared" si="59"/>
        <v>451</v>
      </c>
      <c r="CL154">
        <f t="shared" si="60"/>
        <v>63</v>
      </c>
      <c r="CM154">
        <f t="shared" si="61"/>
        <v>210</v>
      </c>
      <c r="CN154" s="23">
        <f t="shared" si="62"/>
        <v>119</v>
      </c>
      <c r="CO154" s="176">
        <f t="shared" si="46"/>
        <v>332</v>
      </c>
      <c r="CQ154" s="23">
        <f t="shared" si="63"/>
        <v>127</v>
      </c>
      <c r="CR154" s="23">
        <f t="shared" si="64"/>
        <v>332</v>
      </c>
    </row>
    <row r="155" spans="1:96" ht="43.5">
      <c r="A155" t="str">
        <f t="shared" si="47"/>
        <v>491</v>
      </c>
      <c r="B155">
        <f t="shared" si="50"/>
        <v>491</v>
      </c>
      <c r="C155" s="14" t="s">
        <v>162</v>
      </c>
      <c r="D155" s="11"/>
      <c r="E155" s="9">
        <f>SUM(0*0.5)</f>
        <v>0</v>
      </c>
      <c r="F155" s="9">
        <v>0</v>
      </c>
      <c r="G155" s="9">
        <v>0</v>
      </c>
      <c r="H155" s="9">
        <v>0</v>
      </c>
      <c r="I155" s="9">
        <v>0</v>
      </c>
      <c r="J155" s="9">
        <v>0</v>
      </c>
      <c r="K155" s="9">
        <v>135.833333333333</v>
      </c>
      <c r="L155" s="9">
        <v>125.32786885245901</v>
      </c>
      <c r="M155" s="9">
        <v>140.13114754098399</v>
      </c>
      <c r="N155" s="9">
        <v>78.387978142076506</v>
      </c>
      <c r="O155" s="9">
        <v>57.896174863387998</v>
      </c>
      <c r="P155" s="9">
        <v>66.2732240437158</v>
      </c>
      <c r="Q155" s="9">
        <v>61.916184971098303</v>
      </c>
      <c r="R155" s="9">
        <v>0</v>
      </c>
      <c r="S155" s="9">
        <v>0</v>
      </c>
      <c r="T155" s="9">
        <v>0</v>
      </c>
      <c r="U155" s="9">
        <v>0</v>
      </c>
      <c r="V155" s="9">
        <v>0</v>
      </c>
      <c r="W155" s="9">
        <v>0</v>
      </c>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9">
        <v>0</v>
      </c>
      <c r="AO155" s="9">
        <v>0</v>
      </c>
      <c r="AP155" s="9">
        <v>0</v>
      </c>
      <c r="AQ155" s="9">
        <v>0</v>
      </c>
      <c r="AR155" s="9">
        <v>0</v>
      </c>
      <c r="AS155" s="9">
        <v>0</v>
      </c>
      <c r="AT155" s="9">
        <v>0</v>
      </c>
      <c r="AU155" s="9">
        <v>0</v>
      </c>
      <c r="AV155" s="9">
        <v>0</v>
      </c>
      <c r="AW155" s="9">
        <v>0</v>
      </c>
      <c r="AX155" s="9">
        <f t="shared" si="51"/>
        <v>699.05420733440747</v>
      </c>
      <c r="AY155" s="9">
        <f t="shared" si="52"/>
        <v>0</v>
      </c>
      <c r="AZ155" s="9">
        <f t="shared" si="53"/>
        <v>277.69724012129257</v>
      </c>
      <c r="BA155" s="9">
        <f t="shared" si="54"/>
        <v>142.62499999999966</v>
      </c>
      <c r="BB155" s="9">
        <f t="shared" si="55"/>
        <v>556.42920733440781</v>
      </c>
      <c r="BC155" s="19"/>
      <c r="BD155" s="9">
        <v>83</v>
      </c>
      <c r="BF155" s="257">
        <v>295.39</v>
      </c>
      <c r="BH155" s="252">
        <v>12</v>
      </c>
      <c r="BI155" s="252">
        <f t="shared" si="56"/>
        <v>12</v>
      </c>
      <c r="BJ155" s="252">
        <f t="shared" si="45"/>
        <v>665.7659117470547</v>
      </c>
      <c r="BK155" s="256">
        <f t="shared" si="48"/>
        <v>12</v>
      </c>
      <c r="BP155" s="252">
        <v>0</v>
      </c>
      <c r="BQ155" s="252">
        <f t="shared" si="57"/>
        <v>0</v>
      </c>
      <c r="BR155" s="256">
        <f t="shared" si="58"/>
        <v>665.7659117470547</v>
      </c>
      <c r="BS155" s="255">
        <f t="shared" si="49"/>
        <v>0</v>
      </c>
      <c r="BU155" s="252">
        <v>0</v>
      </c>
      <c r="BW155" s="9">
        <v>0</v>
      </c>
      <c r="BX155" s="9">
        <v>0</v>
      </c>
      <c r="BY155" s="9">
        <v>0</v>
      </c>
      <c r="BZ155" s="9">
        <v>0</v>
      </c>
      <c r="CA155" s="9">
        <v>0</v>
      </c>
      <c r="CB155" s="9">
        <v>0</v>
      </c>
      <c r="CC155" s="9">
        <v>0</v>
      </c>
      <c r="CD155" s="9">
        <v>141</v>
      </c>
      <c r="CE155" s="9">
        <v>127</v>
      </c>
      <c r="CF155" s="9">
        <v>116</v>
      </c>
      <c r="CG155" s="9">
        <v>113</v>
      </c>
      <c r="CH155" s="9">
        <v>71</v>
      </c>
      <c r="CI155" s="9">
        <v>60</v>
      </c>
      <c r="CJ155" s="9">
        <v>59</v>
      </c>
      <c r="CK155" s="23">
        <f t="shared" si="59"/>
        <v>687</v>
      </c>
      <c r="CL155">
        <f t="shared" si="60"/>
        <v>0</v>
      </c>
      <c r="CM155">
        <f t="shared" si="61"/>
        <v>303</v>
      </c>
      <c r="CN155" s="23">
        <f t="shared" si="62"/>
        <v>141</v>
      </c>
      <c r="CO155" s="176">
        <f t="shared" si="46"/>
        <v>546</v>
      </c>
      <c r="CQ155" s="23">
        <f t="shared" si="63"/>
        <v>141</v>
      </c>
      <c r="CR155" s="23">
        <f t="shared" si="64"/>
        <v>546</v>
      </c>
    </row>
    <row r="156" spans="1:96" ht="29.25">
      <c r="A156" t="str">
        <f t="shared" si="47"/>
        <v>492</v>
      </c>
      <c r="B156">
        <f>A156*1</f>
        <v>492</v>
      </c>
      <c r="C156" s="15" t="s">
        <v>163</v>
      </c>
      <c r="D156" s="11"/>
      <c r="E156" s="9">
        <f>SUM(34.3076923076923*0.5)</f>
        <v>17.15384615384615</v>
      </c>
      <c r="F156" s="9">
        <v>34.496794871794897</v>
      </c>
      <c r="G156" s="9">
        <v>33.407051282051299</v>
      </c>
      <c r="H156" s="9">
        <v>35.644230769230802</v>
      </c>
      <c r="I156" s="9">
        <v>35.554487179487197</v>
      </c>
      <c r="J156" s="9">
        <v>36.625</v>
      </c>
      <c r="K156" s="9">
        <v>47.721153846153797</v>
      </c>
      <c r="L156" s="9">
        <v>47.929936305732497</v>
      </c>
      <c r="M156" s="9">
        <v>41.757961783439498</v>
      </c>
      <c r="N156" s="9">
        <v>0</v>
      </c>
      <c r="O156" s="9">
        <v>0</v>
      </c>
      <c r="P156" s="9">
        <v>0</v>
      </c>
      <c r="Q156" s="9">
        <v>0</v>
      </c>
      <c r="R156" s="9">
        <v>0</v>
      </c>
      <c r="S156" s="9">
        <v>0</v>
      </c>
      <c r="T156" s="9">
        <v>0</v>
      </c>
      <c r="U156" s="9">
        <v>0</v>
      </c>
      <c r="V156" s="9">
        <v>0</v>
      </c>
      <c r="W156" s="9">
        <v>0</v>
      </c>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0</v>
      </c>
      <c r="AN156" s="9">
        <v>0</v>
      </c>
      <c r="AO156" s="9">
        <v>0</v>
      </c>
      <c r="AP156" s="9">
        <v>0</v>
      </c>
      <c r="AQ156" s="9">
        <v>0</v>
      </c>
      <c r="AR156" s="9">
        <v>0</v>
      </c>
      <c r="AS156" s="9">
        <v>0</v>
      </c>
      <c r="AT156" s="9">
        <v>0</v>
      </c>
      <c r="AU156" s="9">
        <v>0</v>
      </c>
      <c r="AV156" s="9">
        <v>0</v>
      </c>
      <c r="AW156" s="9">
        <v>0</v>
      </c>
      <c r="AX156" s="9">
        <f t="shared" si="51"/>
        <v>346.80498530132297</v>
      </c>
      <c r="AY156" s="9">
        <f t="shared" si="52"/>
        <v>126.73701923076932</v>
      </c>
      <c r="AZ156" s="9">
        <f t="shared" si="53"/>
        <v>0</v>
      </c>
      <c r="BA156" s="9">
        <f t="shared" si="54"/>
        <v>252.63269230769237</v>
      </c>
      <c r="BB156" s="9">
        <f t="shared" si="55"/>
        <v>94.172292993630592</v>
      </c>
      <c r="BC156" s="19"/>
      <c r="BD156" s="126">
        <v>164.97</v>
      </c>
      <c r="BF156" s="257">
        <v>159.94999999999999</v>
      </c>
      <c r="BH156" s="252">
        <v>27</v>
      </c>
      <c r="BI156" s="252">
        <f t="shared" si="56"/>
        <v>27</v>
      </c>
      <c r="BJ156" s="252">
        <f t="shared" si="45"/>
        <v>330.29046219173614</v>
      </c>
      <c r="BK156" s="256">
        <f t="shared" si="48"/>
        <v>27</v>
      </c>
      <c r="BP156" s="252" t="s">
        <v>239</v>
      </c>
      <c r="BQ156" s="252" t="str">
        <f t="shared" si="57"/>
        <v/>
      </c>
      <c r="BR156" s="256" t="str">
        <f t="shared" si="58"/>
        <v/>
      </c>
      <c r="BS156" s="255">
        <f t="shared" si="49"/>
        <v>29.665337744785099</v>
      </c>
      <c r="BU156" s="252">
        <v>9</v>
      </c>
      <c r="BW156" s="24">
        <v>0</v>
      </c>
      <c r="BX156" s="24">
        <v>36</v>
      </c>
      <c r="BY156" s="24">
        <v>37</v>
      </c>
      <c r="BZ156" s="24">
        <v>37</v>
      </c>
      <c r="CA156" s="24">
        <v>35</v>
      </c>
      <c r="CB156" s="24">
        <v>38</v>
      </c>
      <c r="CC156" s="24">
        <v>37</v>
      </c>
      <c r="CD156" s="24">
        <v>50</v>
      </c>
      <c r="CE156" s="24">
        <v>54</v>
      </c>
      <c r="CF156" s="24">
        <v>48</v>
      </c>
      <c r="CG156" s="24">
        <v>0</v>
      </c>
      <c r="CH156" s="24">
        <v>0</v>
      </c>
      <c r="CI156" s="24">
        <v>0</v>
      </c>
      <c r="CJ156" s="24">
        <v>0</v>
      </c>
      <c r="CK156" s="23">
        <f t="shared" si="59"/>
        <v>354</v>
      </c>
      <c r="CL156">
        <f t="shared" si="60"/>
        <v>127</v>
      </c>
      <c r="CM156">
        <f t="shared" si="61"/>
        <v>0</v>
      </c>
      <c r="CN156" s="23">
        <f t="shared" si="62"/>
        <v>252</v>
      </c>
      <c r="CO156" s="176">
        <f t="shared" si="46"/>
        <v>102</v>
      </c>
      <c r="CQ156" s="23">
        <f t="shared" si="63"/>
        <v>270</v>
      </c>
      <c r="CR156" s="23">
        <f t="shared" si="64"/>
        <v>102</v>
      </c>
    </row>
    <row r="157" spans="1:96" ht="29.25">
      <c r="A157" t="str">
        <f t="shared" si="47"/>
        <v>493</v>
      </c>
      <c r="B157">
        <f t="shared" si="50"/>
        <v>493</v>
      </c>
      <c r="C157" s="15" t="s">
        <v>164</v>
      </c>
      <c r="D157" s="11"/>
      <c r="E157" s="9">
        <f>SUM(80.9730782523261*0.5)</f>
        <v>40.486539126163052</v>
      </c>
      <c r="F157" s="9">
        <v>79.981981981982003</v>
      </c>
      <c r="G157" s="9">
        <v>79.780780780780802</v>
      </c>
      <c r="H157" s="9">
        <v>85.816816816816797</v>
      </c>
      <c r="I157" s="9">
        <v>86.951951951951997</v>
      </c>
      <c r="J157" s="9">
        <v>92.261261261261296</v>
      </c>
      <c r="K157" s="9">
        <v>97.767164179104498</v>
      </c>
      <c r="L157" s="9">
        <v>92.665671641791107</v>
      </c>
      <c r="M157" s="9">
        <v>83.838805970149295</v>
      </c>
      <c r="N157" s="9">
        <v>42.0328358208955</v>
      </c>
      <c r="O157" s="9">
        <v>40.337313432835799</v>
      </c>
      <c r="P157" s="9">
        <v>25.982089552238801</v>
      </c>
      <c r="Q157" s="9">
        <v>17.653731343283599</v>
      </c>
      <c r="R157" s="9">
        <v>0</v>
      </c>
      <c r="S157" s="9">
        <v>0</v>
      </c>
      <c r="T157" s="9">
        <v>0</v>
      </c>
      <c r="U157" s="9">
        <v>0</v>
      </c>
      <c r="V157" s="9">
        <v>0</v>
      </c>
      <c r="W157" s="9">
        <v>0</v>
      </c>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9">
        <v>0</v>
      </c>
      <c r="AO157" s="9">
        <v>0</v>
      </c>
      <c r="AP157" s="9">
        <v>0</v>
      </c>
      <c r="AQ157" s="9">
        <v>0</v>
      </c>
      <c r="AR157" s="9">
        <v>0</v>
      </c>
      <c r="AS157" s="9">
        <v>0</v>
      </c>
      <c r="AT157" s="9">
        <v>0</v>
      </c>
      <c r="AU157" s="9">
        <v>0</v>
      </c>
      <c r="AV157" s="9">
        <v>0</v>
      </c>
      <c r="AW157" s="9">
        <v>0</v>
      </c>
      <c r="AX157" s="9">
        <f t="shared" si="51"/>
        <v>908.83479105221738</v>
      </c>
      <c r="AY157" s="9">
        <f t="shared" si="52"/>
        <v>300.36942464102981</v>
      </c>
      <c r="AZ157" s="9">
        <f t="shared" si="53"/>
        <v>132.30626865671638</v>
      </c>
      <c r="BA157" s="9">
        <f t="shared" si="54"/>
        <v>591.19882090296358</v>
      </c>
      <c r="BB157" s="9">
        <f t="shared" si="55"/>
        <v>317.63597014925381</v>
      </c>
      <c r="BC157" s="19"/>
      <c r="BD157" s="126">
        <v>432.37</v>
      </c>
      <c r="BF157" s="257">
        <v>419.22</v>
      </c>
      <c r="BH157" s="252">
        <v>42</v>
      </c>
      <c r="BI157" s="252">
        <f t="shared" si="56"/>
        <v>42</v>
      </c>
      <c r="BJ157" s="252">
        <f t="shared" si="45"/>
        <v>865.5569438592546</v>
      </c>
      <c r="BK157" s="256">
        <f t="shared" si="48"/>
        <v>42</v>
      </c>
      <c r="BP157" s="252" t="s">
        <v>239</v>
      </c>
      <c r="BQ157" s="252" t="str">
        <f t="shared" si="57"/>
        <v/>
      </c>
      <c r="BR157" s="256" t="str">
        <f t="shared" si="58"/>
        <v/>
      </c>
      <c r="BS157" s="255">
        <f t="shared" si="49"/>
        <v>77.74078278416367</v>
      </c>
      <c r="BU157" s="252">
        <v>6</v>
      </c>
      <c r="BW157" s="9">
        <v>0</v>
      </c>
      <c r="BX157" s="9">
        <v>84</v>
      </c>
      <c r="BY157" s="9">
        <v>84</v>
      </c>
      <c r="BZ157" s="9">
        <v>84</v>
      </c>
      <c r="CA157" s="9">
        <v>90</v>
      </c>
      <c r="CB157" s="9">
        <v>90</v>
      </c>
      <c r="CC157" s="9">
        <v>96</v>
      </c>
      <c r="CD157" s="9">
        <v>105</v>
      </c>
      <c r="CE157" s="9">
        <v>103</v>
      </c>
      <c r="CF157" s="9">
        <v>99</v>
      </c>
      <c r="CG157" s="9">
        <v>49</v>
      </c>
      <c r="CH157" s="9">
        <v>43</v>
      </c>
      <c r="CI157" s="9">
        <v>26</v>
      </c>
      <c r="CJ157" s="9">
        <v>22</v>
      </c>
      <c r="CK157" s="23">
        <f t="shared" si="59"/>
        <v>933</v>
      </c>
      <c r="CL157">
        <f t="shared" si="60"/>
        <v>300</v>
      </c>
      <c r="CM157">
        <f t="shared" si="61"/>
        <v>140</v>
      </c>
      <c r="CN157" s="23">
        <f t="shared" si="62"/>
        <v>591</v>
      </c>
      <c r="CO157" s="176">
        <f t="shared" si="46"/>
        <v>342</v>
      </c>
      <c r="CQ157" s="23">
        <f t="shared" si="63"/>
        <v>633</v>
      </c>
      <c r="CR157" s="23">
        <f t="shared" si="64"/>
        <v>342</v>
      </c>
    </row>
    <row r="158" spans="1:96" ht="29.25">
      <c r="A158" t="str">
        <f t="shared" si="47"/>
        <v>494</v>
      </c>
      <c r="B158">
        <f t="shared" si="50"/>
        <v>494</v>
      </c>
      <c r="C158" s="15" t="s">
        <v>165</v>
      </c>
      <c r="D158" s="11"/>
      <c r="E158" s="9">
        <f>SUM(34.0354111351098*0.5)</f>
        <v>17.017705567554898</v>
      </c>
      <c r="F158" s="9">
        <v>31.793209876543202</v>
      </c>
      <c r="G158" s="9">
        <v>38.058641975308603</v>
      </c>
      <c r="H158" s="9">
        <v>37.5555555555556</v>
      </c>
      <c r="I158" s="9">
        <v>38.179012345678998</v>
      </c>
      <c r="J158" s="9">
        <v>35.404320987654302</v>
      </c>
      <c r="K158" s="9">
        <v>40.024691358024697</v>
      </c>
      <c r="L158" s="9">
        <v>39.703703703703702</v>
      </c>
      <c r="M158" s="9">
        <v>30.617283950617299</v>
      </c>
      <c r="N158" s="9">
        <v>0</v>
      </c>
      <c r="O158" s="9">
        <v>0</v>
      </c>
      <c r="P158" s="9">
        <v>0</v>
      </c>
      <c r="Q158" s="9">
        <v>0</v>
      </c>
      <c r="R158" s="9">
        <v>0</v>
      </c>
      <c r="S158" s="9">
        <v>0</v>
      </c>
      <c r="T158" s="9">
        <v>0</v>
      </c>
      <c r="U158" s="9">
        <v>0</v>
      </c>
      <c r="V158" s="9">
        <v>0</v>
      </c>
      <c r="W158" s="9">
        <v>0</v>
      </c>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9">
        <v>0</v>
      </c>
      <c r="AO158" s="9">
        <v>0</v>
      </c>
      <c r="AP158" s="9">
        <v>0</v>
      </c>
      <c r="AQ158" s="9">
        <v>0</v>
      </c>
      <c r="AR158" s="9">
        <v>0</v>
      </c>
      <c r="AS158" s="9">
        <v>0</v>
      </c>
      <c r="AT158" s="9">
        <v>0</v>
      </c>
      <c r="AU158" s="9">
        <v>0</v>
      </c>
      <c r="AV158" s="9">
        <v>0</v>
      </c>
      <c r="AW158" s="9">
        <v>0</v>
      </c>
      <c r="AX158" s="9">
        <f t="shared" si="51"/>
        <v>323.77183158667339</v>
      </c>
      <c r="AY158" s="9">
        <f t="shared" si="52"/>
        <v>130.64636862371043</v>
      </c>
      <c r="AZ158" s="9">
        <f t="shared" si="53"/>
        <v>0</v>
      </c>
      <c r="BA158" s="9">
        <f t="shared" si="54"/>
        <v>249.93479454963631</v>
      </c>
      <c r="BB158" s="9">
        <f t="shared" si="55"/>
        <v>73.837037037037049</v>
      </c>
      <c r="BC158" s="19"/>
      <c r="BD158" s="9">
        <v>125</v>
      </c>
      <c r="BF158" s="252">
        <v>93</v>
      </c>
      <c r="BH158" s="252">
        <v>44</v>
      </c>
      <c r="BI158" s="252">
        <f t="shared" si="56"/>
        <v>44</v>
      </c>
      <c r="BJ158" s="252">
        <f t="shared" si="45"/>
        <v>308.35412532064129</v>
      </c>
      <c r="BK158" s="256">
        <f t="shared" si="48"/>
        <v>44</v>
      </c>
      <c r="BP158" s="252" t="s">
        <v>239</v>
      </c>
      <c r="BQ158" s="252" t="str">
        <f t="shared" si="57"/>
        <v/>
      </c>
      <c r="BR158" s="256" t="str">
        <f t="shared" si="58"/>
        <v/>
      </c>
      <c r="BS158" s="255">
        <f t="shared" si="49"/>
        <v>27.69510573188899</v>
      </c>
      <c r="BU158" s="252">
        <v>11</v>
      </c>
      <c r="BW158" s="9">
        <v>0</v>
      </c>
      <c r="BX158" s="9">
        <v>36</v>
      </c>
      <c r="BY158" s="9">
        <v>39</v>
      </c>
      <c r="BZ158" s="9">
        <v>33</v>
      </c>
      <c r="CA158" s="9">
        <v>38</v>
      </c>
      <c r="CB158" s="9">
        <v>39</v>
      </c>
      <c r="CC158" s="9">
        <v>41</v>
      </c>
      <c r="CD158" s="9">
        <v>36</v>
      </c>
      <c r="CE158" s="9">
        <v>38</v>
      </c>
      <c r="CF158" s="9">
        <v>45</v>
      </c>
      <c r="CG158" s="9">
        <v>0</v>
      </c>
      <c r="CH158" s="9">
        <v>0</v>
      </c>
      <c r="CI158" s="9">
        <v>0</v>
      </c>
      <c r="CJ158" s="9">
        <v>0</v>
      </c>
      <c r="CK158" s="23">
        <f t="shared" si="59"/>
        <v>327</v>
      </c>
      <c r="CL158">
        <f t="shared" si="60"/>
        <v>128</v>
      </c>
      <c r="CM158">
        <f t="shared" si="61"/>
        <v>0</v>
      </c>
      <c r="CN158" s="23">
        <f t="shared" si="62"/>
        <v>244</v>
      </c>
      <c r="CO158" s="176">
        <f t="shared" si="46"/>
        <v>83</v>
      </c>
      <c r="CQ158" s="23">
        <f t="shared" si="63"/>
        <v>262</v>
      </c>
      <c r="CR158" s="23">
        <f t="shared" si="64"/>
        <v>83</v>
      </c>
    </row>
    <row r="159" spans="1:96" ht="29.25">
      <c r="A159" t="str">
        <f t="shared" si="47"/>
        <v>495</v>
      </c>
      <c r="B159">
        <f t="shared" si="50"/>
        <v>495</v>
      </c>
      <c r="C159" s="15" t="s">
        <v>166</v>
      </c>
      <c r="D159" s="11"/>
      <c r="E159" s="9">
        <f>SUM(44.7448275862069*0.5)</f>
        <v>22.372413793103451</v>
      </c>
      <c r="F159" s="9">
        <v>45.465517241379303</v>
      </c>
      <c r="G159" s="9">
        <v>45.186206896551703</v>
      </c>
      <c r="H159" s="9">
        <v>47.451724137931002</v>
      </c>
      <c r="I159" s="9">
        <v>51.562068965517199</v>
      </c>
      <c r="J159" s="9">
        <v>51.465517241379303</v>
      </c>
      <c r="K159" s="9">
        <v>47.2</v>
      </c>
      <c r="L159" s="9">
        <v>46.596551724137903</v>
      </c>
      <c r="M159" s="9">
        <v>13.1241379310345</v>
      </c>
      <c r="N159" s="9">
        <v>0</v>
      </c>
      <c r="O159" s="9">
        <v>0</v>
      </c>
      <c r="P159" s="9">
        <v>0</v>
      </c>
      <c r="Q159" s="9">
        <v>0</v>
      </c>
      <c r="R159" s="9">
        <v>0</v>
      </c>
      <c r="S159" s="9">
        <v>0</v>
      </c>
      <c r="T159" s="9">
        <v>0</v>
      </c>
      <c r="U159" s="9">
        <v>0</v>
      </c>
      <c r="V159" s="9">
        <v>0</v>
      </c>
      <c r="W159" s="9">
        <v>0</v>
      </c>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9">
        <v>0</v>
      </c>
      <c r="AO159" s="9">
        <v>0</v>
      </c>
      <c r="AP159" s="9">
        <v>0</v>
      </c>
      <c r="AQ159" s="9">
        <v>0</v>
      </c>
      <c r="AR159" s="9">
        <v>0</v>
      </c>
      <c r="AS159" s="9">
        <v>0</v>
      </c>
      <c r="AT159" s="9">
        <v>0</v>
      </c>
      <c r="AU159" s="9">
        <v>0</v>
      </c>
      <c r="AV159" s="9">
        <v>0</v>
      </c>
      <c r="AW159" s="9">
        <v>0</v>
      </c>
      <c r="AX159" s="9">
        <f t="shared" si="51"/>
        <v>388.9453448275861</v>
      </c>
      <c r="AY159" s="9">
        <f t="shared" si="52"/>
        <v>168.49965517241372</v>
      </c>
      <c r="AZ159" s="9">
        <f t="shared" si="53"/>
        <v>0</v>
      </c>
      <c r="BA159" s="9">
        <f t="shared" si="54"/>
        <v>326.23862068965508</v>
      </c>
      <c r="BB159" s="9">
        <f t="shared" si="55"/>
        <v>62.706724137931033</v>
      </c>
      <c r="BC159" s="19"/>
      <c r="BD159" s="9">
        <v>115</v>
      </c>
      <c r="BF159" s="257">
        <v>199.93</v>
      </c>
      <c r="BH159" s="252">
        <v>24</v>
      </c>
      <c r="BI159" s="252">
        <f t="shared" si="56"/>
        <v>24</v>
      </c>
      <c r="BJ159" s="252">
        <f t="shared" si="45"/>
        <v>370.42413793103435</v>
      </c>
      <c r="BK159" s="256">
        <f t="shared" si="48"/>
        <v>24</v>
      </c>
      <c r="BP159" s="252">
        <v>7</v>
      </c>
      <c r="BQ159" s="252">
        <f t="shared" si="57"/>
        <v>7</v>
      </c>
      <c r="BR159" s="256">
        <f t="shared" si="58"/>
        <v>370.42413793103435</v>
      </c>
      <c r="BS159" s="255">
        <f t="shared" si="49"/>
        <v>7</v>
      </c>
      <c r="BU159" s="252">
        <v>0</v>
      </c>
      <c r="BW159" s="9">
        <v>0</v>
      </c>
      <c r="BX159" s="9">
        <v>62</v>
      </c>
      <c r="BY159" s="9">
        <v>48</v>
      </c>
      <c r="BZ159" s="9">
        <v>48</v>
      </c>
      <c r="CA159" s="9">
        <v>48</v>
      </c>
      <c r="CB159" s="9">
        <v>51</v>
      </c>
      <c r="CC159" s="9">
        <v>54</v>
      </c>
      <c r="CD159" s="9">
        <v>54</v>
      </c>
      <c r="CE159" s="9">
        <v>50</v>
      </c>
      <c r="CF159" s="9">
        <v>50</v>
      </c>
      <c r="CG159" s="9">
        <v>0</v>
      </c>
      <c r="CH159" s="9">
        <v>0</v>
      </c>
      <c r="CI159" s="9">
        <v>0</v>
      </c>
      <c r="CJ159" s="9">
        <v>0</v>
      </c>
      <c r="CK159" s="23">
        <f t="shared" si="59"/>
        <v>434</v>
      </c>
      <c r="CL159">
        <f t="shared" si="60"/>
        <v>175</v>
      </c>
      <c r="CM159">
        <f t="shared" si="61"/>
        <v>0</v>
      </c>
      <c r="CN159" s="23">
        <f t="shared" si="62"/>
        <v>334</v>
      </c>
      <c r="CO159" s="176">
        <f t="shared" si="46"/>
        <v>100</v>
      </c>
      <c r="CQ159" s="23">
        <f t="shared" si="63"/>
        <v>365</v>
      </c>
      <c r="CR159" s="23">
        <f t="shared" si="64"/>
        <v>100</v>
      </c>
    </row>
    <row r="160" spans="1:96" ht="29.25">
      <c r="A160" t="str">
        <f t="shared" si="47"/>
        <v>496</v>
      </c>
      <c r="B160">
        <f t="shared" si="50"/>
        <v>496</v>
      </c>
      <c r="C160" s="15" t="s">
        <v>167</v>
      </c>
      <c r="D160" s="11"/>
      <c r="E160" s="9">
        <f>SUM(22.7371428571429*0.5)</f>
        <v>11.36857142857145</v>
      </c>
      <c r="F160" s="9">
        <v>22.845714285714301</v>
      </c>
      <c r="G160" s="9">
        <v>23.06</v>
      </c>
      <c r="H160" s="9">
        <v>23.137142857142901</v>
      </c>
      <c r="I160" s="9">
        <v>26.8771428571429</v>
      </c>
      <c r="J160" s="9">
        <v>21.605714285714299</v>
      </c>
      <c r="K160" s="9">
        <v>0</v>
      </c>
      <c r="L160" s="9">
        <v>0</v>
      </c>
      <c r="M160" s="9">
        <v>0</v>
      </c>
      <c r="N160" s="9">
        <v>0</v>
      </c>
      <c r="O160" s="9">
        <v>0</v>
      </c>
      <c r="P160" s="9">
        <v>0</v>
      </c>
      <c r="Q160" s="9">
        <v>0</v>
      </c>
      <c r="R160" s="9">
        <v>0</v>
      </c>
      <c r="S160" s="9">
        <v>0</v>
      </c>
      <c r="T160" s="9">
        <v>0</v>
      </c>
      <c r="U160" s="9">
        <v>0</v>
      </c>
      <c r="V160" s="9">
        <v>0</v>
      </c>
      <c r="W160" s="9">
        <v>0</v>
      </c>
      <c r="X160" s="9">
        <v>0</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9">
        <v>0</v>
      </c>
      <c r="AO160" s="9">
        <v>0</v>
      </c>
      <c r="AP160" s="9">
        <v>0</v>
      </c>
      <c r="AQ160" s="9">
        <v>0</v>
      </c>
      <c r="AR160" s="9">
        <v>0</v>
      </c>
      <c r="AS160" s="9">
        <v>0</v>
      </c>
      <c r="AT160" s="9">
        <v>0</v>
      </c>
      <c r="AU160" s="9">
        <v>0</v>
      </c>
      <c r="AV160" s="9">
        <v>0</v>
      </c>
      <c r="AW160" s="9">
        <v>0</v>
      </c>
      <c r="AX160" s="9">
        <f t="shared" si="51"/>
        <v>135.33900000000014</v>
      </c>
      <c r="AY160" s="9">
        <f t="shared" si="52"/>
        <v>84.432000000000102</v>
      </c>
      <c r="AZ160" s="9">
        <f t="shared" si="53"/>
        <v>0</v>
      </c>
      <c r="BA160" s="9">
        <f t="shared" si="54"/>
        <v>135.33900000000014</v>
      </c>
      <c r="BB160" s="9">
        <f t="shared" si="55"/>
        <v>0</v>
      </c>
      <c r="BC160" s="19"/>
      <c r="BD160" s="9">
        <v>106</v>
      </c>
      <c r="BF160" s="252">
        <v>12</v>
      </c>
      <c r="BH160" s="252">
        <v>22</v>
      </c>
      <c r="BI160" s="252">
        <f t="shared" si="56"/>
        <v>22</v>
      </c>
      <c r="BJ160" s="252">
        <f t="shared" si="45"/>
        <v>128.89428571428584</v>
      </c>
      <c r="BK160" s="256">
        <f t="shared" si="48"/>
        <v>22</v>
      </c>
      <c r="BP160" s="252">
        <v>0</v>
      </c>
      <c r="BQ160" s="252">
        <f t="shared" si="57"/>
        <v>0</v>
      </c>
      <c r="BR160" s="256">
        <f t="shared" si="58"/>
        <v>128.89428571428584</v>
      </c>
      <c r="BS160" s="255">
        <f t="shared" si="49"/>
        <v>0</v>
      </c>
      <c r="BU160" s="252">
        <v>3</v>
      </c>
      <c r="BW160" s="9">
        <v>0</v>
      </c>
      <c r="BX160" s="9">
        <v>24</v>
      </c>
      <c r="BY160" s="9">
        <v>25</v>
      </c>
      <c r="BZ160" s="9">
        <v>24</v>
      </c>
      <c r="CA160" s="9">
        <v>25</v>
      </c>
      <c r="CB160" s="9">
        <v>30</v>
      </c>
      <c r="CC160" s="9">
        <v>26</v>
      </c>
      <c r="CD160" s="9">
        <v>30</v>
      </c>
      <c r="CE160" s="9">
        <v>0</v>
      </c>
      <c r="CF160" s="9">
        <v>0</v>
      </c>
      <c r="CG160" s="9">
        <v>0</v>
      </c>
      <c r="CH160" s="9">
        <v>0</v>
      </c>
      <c r="CI160" s="9">
        <v>0</v>
      </c>
      <c r="CJ160" s="9">
        <v>0</v>
      </c>
      <c r="CK160" s="23">
        <f t="shared" si="59"/>
        <v>172</v>
      </c>
      <c r="CL160">
        <f t="shared" si="60"/>
        <v>86</v>
      </c>
      <c r="CM160">
        <f t="shared" si="61"/>
        <v>0</v>
      </c>
      <c r="CN160" s="23">
        <f t="shared" si="62"/>
        <v>172</v>
      </c>
      <c r="CO160" s="176">
        <f t="shared" si="46"/>
        <v>0</v>
      </c>
      <c r="CQ160" s="23">
        <f t="shared" si="63"/>
        <v>184</v>
      </c>
      <c r="CR160" s="23">
        <f t="shared" si="64"/>
        <v>0</v>
      </c>
    </row>
    <row r="161" spans="1:96" ht="43.5">
      <c r="A161" t="str">
        <f t="shared" si="47"/>
        <v>497</v>
      </c>
      <c r="B161">
        <f t="shared" si="50"/>
        <v>497</v>
      </c>
      <c r="C161" s="15" t="s">
        <v>168</v>
      </c>
      <c r="D161" s="11"/>
      <c r="E161" s="9">
        <f>SUM(0*0.5)</f>
        <v>0</v>
      </c>
      <c r="F161" s="9">
        <v>0</v>
      </c>
      <c r="G161" s="9">
        <v>0</v>
      </c>
      <c r="H161" s="9">
        <v>0</v>
      </c>
      <c r="I161" s="9">
        <v>0</v>
      </c>
      <c r="J161" s="9">
        <v>0</v>
      </c>
      <c r="K161" s="9">
        <v>0</v>
      </c>
      <c r="L161" s="9">
        <v>0</v>
      </c>
      <c r="M161" s="9">
        <v>0</v>
      </c>
      <c r="N161" s="9">
        <v>45.0625</v>
      </c>
      <c r="O161" s="9">
        <v>34.389880952380899</v>
      </c>
      <c r="P161" s="9">
        <v>22.494047619047599</v>
      </c>
      <c r="Q161" s="9">
        <v>7.8095238095238102</v>
      </c>
      <c r="R161" s="9">
        <v>0</v>
      </c>
      <c r="S161" s="9">
        <v>0</v>
      </c>
      <c r="T161" s="9">
        <v>0</v>
      </c>
      <c r="U161" s="9">
        <v>0</v>
      </c>
      <c r="V161" s="9">
        <v>0</v>
      </c>
      <c r="W161" s="9">
        <v>0</v>
      </c>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9">
        <v>0</v>
      </c>
      <c r="AO161" s="9">
        <v>0</v>
      </c>
      <c r="AP161" s="9">
        <v>0</v>
      </c>
      <c r="AQ161" s="9">
        <v>0</v>
      </c>
      <c r="AR161" s="9">
        <v>0</v>
      </c>
      <c r="AS161" s="9">
        <v>0</v>
      </c>
      <c r="AT161" s="9">
        <v>0</v>
      </c>
      <c r="AU161" s="9">
        <v>0</v>
      </c>
      <c r="AV161" s="9">
        <v>0</v>
      </c>
      <c r="AW161" s="9">
        <v>0</v>
      </c>
      <c r="AX161" s="9">
        <f t="shared" si="51"/>
        <v>115.24374999999993</v>
      </c>
      <c r="AY161" s="9">
        <f t="shared" si="52"/>
        <v>0</v>
      </c>
      <c r="AZ161" s="9">
        <f t="shared" si="53"/>
        <v>115.24374999999993</v>
      </c>
      <c r="BA161" s="9">
        <f t="shared" si="54"/>
        <v>0</v>
      </c>
      <c r="BB161" s="9">
        <f t="shared" si="55"/>
        <v>115.24374999999993</v>
      </c>
      <c r="BC161" s="19"/>
      <c r="BD161" s="126">
        <v>126.39</v>
      </c>
      <c r="BF161" s="257">
        <v>122.54</v>
      </c>
      <c r="BH161" s="252">
        <v>11</v>
      </c>
      <c r="BI161" s="252">
        <f t="shared" si="56"/>
        <v>11</v>
      </c>
      <c r="BJ161" s="252">
        <f t="shared" si="45"/>
        <v>109.75595238095231</v>
      </c>
      <c r="BK161" s="256">
        <f t="shared" si="48"/>
        <v>11</v>
      </c>
      <c r="BP161" s="252" t="s">
        <v>239</v>
      </c>
      <c r="BQ161" s="252" t="str">
        <f t="shared" si="57"/>
        <v/>
      </c>
      <c r="BR161" s="256" t="str">
        <f t="shared" si="58"/>
        <v/>
      </c>
      <c r="BS161" s="255">
        <f t="shared" si="49"/>
        <v>9.8578305146195788</v>
      </c>
      <c r="BU161" s="252">
        <v>0</v>
      </c>
      <c r="BW161" s="9">
        <v>0</v>
      </c>
      <c r="BX161" s="9">
        <v>0</v>
      </c>
      <c r="BY161" s="9">
        <v>0</v>
      </c>
      <c r="BZ161" s="9">
        <v>0</v>
      </c>
      <c r="CA161" s="9">
        <v>0</v>
      </c>
      <c r="CB161" s="9">
        <v>0</v>
      </c>
      <c r="CC161" s="9">
        <v>0</v>
      </c>
      <c r="CD161" s="9">
        <v>0</v>
      </c>
      <c r="CE161" s="9">
        <v>0</v>
      </c>
      <c r="CF161" s="9">
        <v>0</v>
      </c>
      <c r="CG161" s="9">
        <v>119</v>
      </c>
      <c r="CH161" s="9">
        <v>81</v>
      </c>
      <c r="CI161" s="9">
        <v>56</v>
      </c>
      <c r="CJ161" s="9">
        <v>29</v>
      </c>
      <c r="CK161" s="23">
        <f t="shared" si="59"/>
        <v>285</v>
      </c>
      <c r="CL161">
        <f t="shared" si="60"/>
        <v>0</v>
      </c>
      <c r="CM161">
        <f t="shared" si="61"/>
        <v>285</v>
      </c>
      <c r="CN161" s="23">
        <f t="shared" si="62"/>
        <v>0</v>
      </c>
      <c r="CO161" s="176">
        <f t="shared" si="46"/>
        <v>285</v>
      </c>
      <c r="CQ161" s="23">
        <f t="shared" si="63"/>
        <v>0</v>
      </c>
      <c r="CR161" s="23">
        <f t="shared" si="64"/>
        <v>285</v>
      </c>
    </row>
    <row r="162" spans="1:96">
      <c r="A162" s="193">
        <v>498</v>
      </c>
      <c r="B162">
        <f t="shared" si="50"/>
        <v>498</v>
      </c>
      <c r="C162" s="194" t="s">
        <v>592</v>
      </c>
      <c r="D162" s="11"/>
      <c r="BC162" s="19"/>
      <c r="BD162" s="9">
        <v>113</v>
      </c>
      <c r="BF162" s="257">
        <v>115.66</v>
      </c>
      <c r="BH162" s="252" t="e">
        <v>#N/A</v>
      </c>
      <c r="BJ162" s="252" t="str">
        <f t="shared" ref="BJ162:BJ167" si="66">IFERROR(IF(BH162&gt;0,SUM(E162:Q162),""),"")</f>
        <v/>
      </c>
      <c r="BK162" s="256">
        <f>IFERROR(BH162*1,CK162*$BJ$179)</f>
        <v>30.395429030872521</v>
      </c>
      <c r="BP162" s="252" t="s">
        <v>239</v>
      </c>
      <c r="BQ162" s="252" t="str">
        <f t="shared" ref="BQ162:BQ166" si="67">IFERROR(BP162*1,"")</f>
        <v/>
      </c>
      <c r="BR162" s="256" t="str">
        <f t="shared" ref="BR162:BR166" si="68">IFERROR(IF(BP162=BQ162,SUM(E162:Q162),""),"")</f>
        <v/>
      </c>
      <c r="BS162" s="255">
        <f>IFERROR(BP162*1,CK162*$BR$179)</f>
        <v>22.004897444641362</v>
      </c>
      <c r="BW162" s="9">
        <v>0</v>
      </c>
      <c r="BX162" s="9">
        <v>48</v>
      </c>
      <c r="BY162" s="9">
        <v>50</v>
      </c>
      <c r="BZ162" s="9">
        <v>45</v>
      </c>
      <c r="CA162" s="9">
        <v>25</v>
      </c>
      <c r="CB162" s="9">
        <v>30</v>
      </c>
      <c r="CC162" s="9">
        <v>28</v>
      </c>
      <c r="CD162" s="9">
        <v>43</v>
      </c>
      <c r="CE162" s="9">
        <v>0</v>
      </c>
      <c r="CF162" s="9">
        <v>0</v>
      </c>
      <c r="CG162" s="9">
        <v>0</v>
      </c>
      <c r="CH162" s="9">
        <v>0</v>
      </c>
      <c r="CI162" s="9">
        <v>0</v>
      </c>
      <c r="CJ162" s="9">
        <v>0</v>
      </c>
      <c r="CK162" s="23">
        <f t="shared" si="59"/>
        <v>245</v>
      </c>
      <c r="CL162">
        <f t="shared" si="60"/>
        <v>144</v>
      </c>
      <c r="CM162">
        <f t="shared" si="61"/>
        <v>0</v>
      </c>
      <c r="CN162" s="23">
        <f t="shared" si="62"/>
        <v>245</v>
      </c>
      <c r="CO162" s="176">
        <f t="shared" si="46"/>
        <v>0</v>
      </c>
      <c r="CQ162" s="23">
        <f t="shared" si="63"/>
        <v>269</v>
      </c>
      <c r="CR162" s="23">
        <f t="shared" si="64"/>
        <v>0</v>
      </c>
    </row>
    <row r="163" spans="1:96">
      <c r="A163" s="193">
        <v>499</v>
      </c>
      <c r="B163">
        <f t="shared" si="50"/>
        <v>499</v>
      </c>
      <c r="C163" s="194" t="s">
        <v>593</v>
      </c>
      <c r="D163" s="11"/>
      <c r="BC163" s="19"/>
      <c r="BD163" s="9">
        <v>125</v>
      </c>
      <c r="BF163" s="257">
        <v>97.6</v>
      </c>
      <c r="BH163" s="252" t="e">
        <v>#N/A</v>
      </c>
      <c r="BJ163" s="252" t="str">
        <f t="shared" si="66"/>
        <v/>
      </c>
      <c r="BK163" s="256">
        <f t="shared" ref="BK163:BK166" si="69">IFERROR(BH163*1,CK163*$BJ$179)</f>
        <v>24.44040620033423</v>
      </c>
      <c r="BP163" s="252" t="s">
        <v>239</v>
      </c>
      <c r="BQ163" s="252" t="str">
        <f t="shared" si="67"/>
        <v/>
      </c>
      <c r="BR163" s="256" t="str">
        <f t="shared" si="68"/>
        <v/>
      </c>
      <c r="BS163" s="255">
        <f t="shared" ref="BS163:BS166" si="70">IFERROR(BP163*1,CK163*$BR$179)</f>
        <v>17.693733863650401</v>
      </c>
      <c r="BW163" s="9">
        <v>0</v>
      </c>
      <c r="BX163" s="9">
        <v>60</v>
      </c>
      <c r="BY163" s="9">
        <v>54</v>
      </c>
      <c r="BZ163" s="9">
        <v>60</v>
      </c>
      <c r="CA163" s="9">
        <v>53</v>
      </c>
      <c r="CB163" s="9">
        <v>0</v>
      </c>
      <c r="CC163" s="9">
        <v>0</v>
      </c>
      <c r="CD163" s="9">
        <v>0</v>
      </c>
      <c r="CE163" s="9">
        <v>0</v>
      </c>
      <c r="CF163" s="9">
        <v>0</v>
      </c>
      <c r="CG163" s="9">
        <v>0</v>
      </c>
      <c r="CH163" s="9">
        <v>0</v>
      </c>
      <c r="CI163" s="9">
        <v>0</v>
      </c>
      <c r="CJ163" s="9">
        <v>0</v>
      </c>
      <c r="CK163" s="23">
        <f t="shared" si="59"/>
        <v>197</v>
      </c>
      <c r="CL163">
        <f t="shared" si="60"/>
        <v>197</v>
      </c>
      <c r="CM163">
        <f t="shared" si="61"/>
        <v>0</v>
      </c>
      <c r="CN163" s="23">
        <f t="shared" si="62"/>
        <v>197</v>
      </c>
      <c r="CO163" s="176">
        <f t="shared" si="46"/>
        <v>0</v>
      </c>
      <c r="CQ163" s="23">
        <f t="shared" si="63"/>
        <v>227</v>
      </c>
      <c r="CR163" s="23">
        <f t="shared" si="64"/>
        <v>0</v>
      </c>
    </row>
    <row r="164" spans="1:96">
      <c r="A164" s="193">
        <v>511</v>
      </c>
      <c r="B164">
        <f t="shared" si="50"/>
        <v>511</v>
      </c>
      <c r="C164" s="194" t="s">
        <v>594</v>
      </c>
      <c r="D164" s="11"/>
      <c r="BC164" s="19"/>
      <c r="BD164" s="9">
        <v>77</v>
      </c>
      <c r="BF164" s="257">
        <v>118.67</v>
      </c>
      <c r="BH164" s="252" t="e">
        <v>#N/A</v>
      </c>
      <c r="BJ164" s="252" t="str">
        <f t="shared" si="66"/>
        <v/>
      </c>
      <c r="BK164" s="256">
        <f t="shared" si="69"/>
        <v>30.829649445599269</v>
      </c>
      <c r="BP164" s="252" t="s">
        <v>239</v>
      </c>
      <c r="BQ164" s="252" t="str">
        <f t="shared" si="67"/>
        <v/>
      </c>
      <c r="BR164" s="256" t="str">
        <f t="shared" si="68"/>
        <v/>
      </c>
      <c r="BS164" s="255">
        <f t="shared" si="70"/>
        <v>22.319253122421955</v>
      </c>
      <c r="BW164" s="9">
        <v>0</v>
      </c>
      <c r="BX164" s="9">
        <v>55</v>
      </c>
      <c r="BY164" s="9">
        <v>57</v>
      </c>
      <c r="BZ164" s="9">
        <v>47</v>
      </c>
      <c r="CA164" s="9">
        <v>46</v>
      </c>
      <c r="CB164" s="9">
        <v>29</v>
      </c>
      <c r="CC164" s="9">
        <v>23</v>
      </c>
      <c r="CD164" s="9">
        <v>19</v>
      </c>
      <c r="CE164" s="9">
        <v>0</v>
      </c>
      <c r="CF164" s="9">
        <v>0</v>
      </c>
      <c r="CG164" s="9">
        <v>0</v>
      </c>
      <c r="CH164" s="9">
        <v>0</v>
      </c>
      <c r="CI164" s="9">
        <v>0</v>
      </c>
      <c r="CJ164" s="9">
        <v>0</v>
      </c>
      <c r="CK164" s="23">
        <f t="shared" si="59"/>
        <v>248.5</v>
      </c>
      <c r="CL164">
        <f t="shared" si="60"/>
        <v>177.5</v>
      </c>
      <c r="CM164">
        <f t="shared" si="61"/>
        <v>0</v>
      </c>
      <c r="CN164" s="23">
        <f t="shared" si="62"/>
        <v>248.5</v>
      </c>
      <c r="CO164" s="176">
        <f t="shared" si="46"/>
        <v>0</v>
      </c>
      <c r="CQ164" s="23">
        <f t="shared" si="63"/>
        <v>276</v>
      </c>
      <c r="CR164" s="23">
        <f t="shared" si="64"/>
        <v>0</v>
      </c>
    </row>
    <row r="165" spans="1:96">
      <c r="A165" s="193">
        <v>513</v>
      </c>
      <c r="B165">
        <f t="shared" si="50"/>
        <v>513</v>
      </c>
      <c r="C165" s="194" t="s">
        <v>595</v>
      </c>
      <c r="D165" s="11"/>
      <c r="BC165" s="19"/>
      <c r="BD165" s="9">
        <v>83</v>
      </c>
      <c r="BF165" s="252">
        <v>65</v>
      </c>
      <c r="BH165" s="252" t="e">
        <v>#N/A</v>
      </c>
      <c r="BJ165" s="252" t="str">
        <f t="shared" si="66"/>
        <v/>
      </c>
      <c r="BK165" s="256">
        <f t="shared" si="69"/>
        <v>29.961208616145768</v>
      </c>
      <c r="BP165" s="252" t="s">
        <v>239</v>
      </c>
      <c r="BQ165" s="252" t="str">
        <f t="shared" si="67"/>
        <v/>
      </c>
      <c r="BR165" s="256" t="str">
        <f t="shared" si="68"/>
        <v/>
      </c>
      <c r="BS165" s="255">
        <f t="shared" si="70"/>
        <v>21.690541766860772</v>
      </c>
      <c r="BW165" s="9">
        <v>0</v>
      </c>
      <c r="BX165" s="9">
        <v>27</v>
      </c>
      <c r="BY165" s="9">
        <v>23</v>
      </c>
      <c r="BZ165" s="9">
        <v>30</v>
      </c>
      <c r="CA165" s="9">
        <v>30</v>
      </c>
      <c r="CB165" s="9">
        <v>29</v>
      </c>
      <c r="CC165" s="9">
        <v>33</v>
      </c>
      <c r="CD165" s="9">
        <v>32</v>
      </c>
      <c r="CE165" s="9">
        <v>28</v>
      </c>
      <c r="CF165" s="9">
        <v>0</v>
      </c>
      <c r="CG165" s="9">
        <v>23</v>
      </c>
      <c r="CH165" s="9">
        <v>0</v>
      </c>
      <c r="CI165" s="9">
        <v>0</v>
      </c>
      <c r="CJ165" s="9">
        <v>0</v>
      </c>
      <c r="CK165" s="23">
        <f t="shared" si="59"/>
        <v>241.5</v>
      </c>
      <c r="CL165">
        <f t="shared" si="60"/>
        <v>96.5</v>
      </c>
      <c r="CM165">
        <f t="shared" si="61"/>
        <v>23</v>
      </c>
      <c r="CN165" s="23">
        <f t="shared" si="62"/>
        <v>190.5</v>
      </c>
      <c r="CO165" s="176">
        <f t="shared" si="46"/>
        <v>51</v>
      </c>
      <c r="CQ165" s="23">
        <f t="shared" si="63"/>
        <v>204</v>
      </c>
      <c r="CR165" s="23">
        <f t="shared" si="64"/>
        <v>51</v>
      </c>
    </row>
    <row r="166" spans="1:96">
      <c r="A166" s="193">
        <v>518</v>
      </c>
      <c r="B166">
        <f t="shared" si="50"/>
        <v>518</v>
      </c>
      <c r="C166" s="195" t="s">
        <v>596</v>
      </c>
      <c r="D166" s="11"/>
      <c r="BC166" s="19"/>
      <c r="BD166" s="126">
        <v>89.58</v>
      </c>
      <c r="BF166" s="257">
        <v>86.85</v>
      </c>
      <c r="BH166" s="252" t="e">
        <v>#N/A</v>
      </c>
      <c r="BJ166" s="252" t="str">
        <f t="shared" si="66"/>
        <v/>
      </c>
      <c r="BK166" s="256">
        <f t="shared" si="69"/>
        <v>25.0607210785153</v>
      </c>
      <c r="BP166" s="252" t="s">
        <v>239</v>
      </c>
      <c r="BQ166" s="252" t="str">
        <f t="shared" si="67"/>
        <v/>
      </c>
      <c r="BR166" s="256" t="str">
        <f t="shared" si="68"/>
        <v/>
      </c>
      <c r="BS166" s="255">
        <f t="shared" si="70"/>
        <v>18.142813403336962</v>
      </c>
      <c r="BW166" s="9">
        <v>0</v>
      </c>
      <c r="BX166" s="9">
        <v>0</v>
      </c>
      <c r="BY166" s="9">
        <v>0</v>
      </c>
      <c r="BZ166" s="9">
        <v>0</v>
      </c>
      <c r="CA166" s="9">
        <v>0</v>
      </c>
      <c r="CB166" s="9">
        <v>0</v>
      </c>
      <c r="CC166" s="9">
        <v>0</v>
      </c>
      <c r="CD166" s="9">
        <v>0</v>
      </c>
      <c r="CE166" s="9">
        <v>0</v>
      </c>
      <c r="CF166" s="9">
        <v>0</v>
      </c>
      <c r="CG166" s="9">
        <v>14</v>
      </c>
      <c r="CH166" s="9">
        <v>64</v>
      </c>
      <c r="CI166" s="9">
        <v>70</v>
      </c>
      <c r="CJ166" s="9">
        <v>54</v>
      </c>
      <c r="CK166" s="23">
        <f t="shared" si="59"/>
        <v>202</v>
      </c>
      <c r="CL166">
        <f t="shared" si="60"/>
        <v>0</v>
      </c>
      <c r="CM166">
        <f t="shared" si="61"/>
        <v>202</v>
      </c>
      <c r="CN166" s="23">
        <f t="shared" si="62"/>
        <v>0</v>
      </c>
      <c r="CO166" s="176">
        <f t="shared" si="46"/>
        <v>202</v>
      </c>
      <c r="CQ166" s="23">
        <f t="shared" si="63"/>
        <v>0</v>
      </c>
      <c r="CR166" s="23">
        <f t="shared" si="64"/>
        <v>202</v>
      </c>
    </row>
    <row r="167" spans="1:96" ht="29.25">
      <c r="A167" t="str">
        <f t="shared" si="47"/>
        <v>555</v>
      </c>
      <c r="B167">
        <f t="shared" si="50"/>
        <v>555</v>
      </c>
      <c r="C167" s="15" t="s">
        <v>169</v>
      </c>
      <c r="D167" s="11"/>
      <c r="E167" s="9">
        <f>SUM(0*0.5)</f>
        <v>0</v>
      </c>
      <c r="F167" s="9">
        <v>0</v>
      </c>
      <c r="G167" s="9">
        <v>0</v>
      </c>
      <c r="H167" s="9">
        <v>0</v>
      </c>
      <c r="I167" s="9">
        <v>0</v>
      </c>
      <c r="J167" s="9">
        <v>0</v>
      </c>
      <c r="K167" s="9">
        <v>0</v>
      </c>
      <c r="L167" s="9">
        <v>0</v>
      </c>
      <c r="M167" s="9">
        <v>0</v>
      </c>
      <c r="N167" s="9">
        <v>0</v>
      </c>
      <c r="O167" s="9">
        <v>0</v>
      </c>
      <c r="P167" s="9">
        <v>0</v>
      </c>
      <c r="Q167" s="9">
        <v>0</v>
      </c>
      <c r="R167" s="9">
        <v>0</v>
      </c>
      <c r="S167" s="9">
        <v>2.1702137096774199</v>
      </c>
      <c r="T167" s="9">
        <v>7.2623640950107902</v>
      </c>
      <c r="U167" s="9">
        <v>23.926536035488599</v>
      </c>
      <c r="V167" s="9">
        <v>20.9669404472533</v>
      </c>
      <c r="W167" s="9">
        <v>29.876273897058802</v>
      </c>
      <c r="X167" s="9">
        <v>23.774104605993301</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9">
        <v>0</v>
      </c>
      <c r="AO167" s="9">
        <v>0</v>
      </c>
      <c r="AP167" s="9">
        <v>0</v>
      </c>
      <c r="AQ167" s="9">
        <v>0</v>
      </c>
      <c r="AR167" s="9">
        <v>4.5294117647058796</v>
      </c>
      <c r="AS167" s="9">
        <v>1.4666666666666699</v>
      </c>
      <c r="AT167" s="9">
        <v>7.5813725490196102</v>
      </c>
      <c r="AU167" s="9">
        <v>8.2392156862745107</v>
      </c>
      <c r="AV167" s="9">
        <v>8.4009803921568604</v>
      </c>
      <c r="AW167" s="9">
        <v>1.38039215686275</v>
      </c>
      <c r="AX167" s="9">
        <f t="shared" si="51"/>
        <v>146.55319560647692</v>
      </c>
      <c r="AY167" s="9">
        <f t="shared" si="52"/>
        <v>0</v>
      </c>
      <c r="AZ167" s="9">
        <f t="shared" si="53"/>
        <v>130.35310655861312</v>
      </c>
      <c r="BA167" s="9">
        <f t="shared" si="54"/>
        <v>0</v>
      </c>
      <c r="BB167" s="9">
        <f t="shared" si="55"/>
        <v>146.55319560647692</v>
      </c>
      <c r="BC167" s="19"/>
      <c r="BD167" s="9">
        <v>84.8</v>
      </c>
      <c r="BF167" s="257">
        <v>54.61</v>
      </c>
      <c r="BH167" s="252">
        <v>27</v>
      </c>
      <c r="BI167" s="252">
        <f t="shared" ref="BI167" si="71">IFERROR(BH167*1,"")</f>
        <v>27</v>
      </c>
      <c r="BJ167" s="252">
        <f t="shared" si="66"/>
        <v>0</v>
      </c>
      <c r="BK167" s="256">
        <f>IFERROR(BH167*1,SUM(E167:Q167)*$BJ$179)</f>
        <v>27</v>
      </c>
      <c r="BP167" s="252" t="e">
        <v>#N/A</v>
      </c>
      <c r="BQ167" s="252" t="str">
        <f t="shared" si="57"/>
        <v/>
      </c>
      <c r="BR167" s="256" t="str">
        <f t="shared" si="58"/>
        <v/>
      </c>
      <c r="BS167" s="255">
        <f t="shared" ref="BS167:BS176" si="72">IFERROR(BP167*1,SUM(E167:Q167)*$BR$179)</f>
        <v>0</v>
      </c>
      <c r="BU167" s="252">
        <v>0</v>
      </c>
      <c r="BW167" s="9">
        <v>0</v>
      </c>
      <c r="BX167" s="9">
        <v>0</v>
      </c>
      <c r="BY167" s="9">
        <v>0</v>
      </c>
      <c r="BZ167" s="9">
        <v>0</v>
      </c>
      <c r="CA167" s="9">
        <v>0</v>
      </c>
      <c r="CB167" s="9">
        <v>0</v>
      </c>
      <c r="CC167" s="9">
        <v>0</v>
      </c>
      <c r="CD167" s="9">
        <v>0</v>
      </c>
      <c r="CE167" s="9">
        <v>2</v>
      </c>
      <c r="CF167" s="9">
        <v>9</v>
      </c>
      <c r="CG167" s="9">
        <v>22</v>
      </c>
      <c r="CH167" s="9">
        <v>30</v>
      </c>
      <c r="CI167" s="9">
        <v>24</v>
      </c>
      <c r="CJ167" s="9">
        <v>40</v>
      </c>
      <c r="CK167" s="23">
        <f t="shared" si="59"/>
        <v>134.89950980392157</v>
      </c>
      <c r="CL167">
        <f t="shared" si="60"/>
        <v>0</v>
      </c>
      <c r="CM167">
        <f t="shared" si="61"/>
        <v>122.40049019607844</v>
      </c>
      <c r="CN167" s="23">
        <f t="shared" si="62"/>
        <v>0</v>
      </c>
      <c r="CO167" s="176">
        <f t="shared" si="46"/>
        <v>134.89950980392157</v>
      </c>
      <c r="CQ167" s="23">
        <f t="shared" si="63"/>
        <v>0</v>
      </c>
      <c r="CR167" s="23">
        <f t="shared" si="64"/>
        <v>134.89950980392157</v>
      </c>
    </row>
    <row r="168" spans="1:96" ht="29.25">
      <c r="A168" t="str">
        <f t="shared" si="47"/>
        <v>559</v>
      </c>
      <c r="B168">
        <f>A168*1</f>
        <v>559</v>
      </c>
      <c r="C168" s="15" t="s">
        <v>170</v>
      </c>
      <c r="D168" s="11"/>
      <c r="E168" s="9">
        <f>SUM(25.0297619047619*0.5)</f>
        <v>12.514880952380951</v>
      </c>
      <c r="F168" s="9">
        <v>27.0803571428571</v>
      </c>
      <c r="G168" s="9">
        <v>27.380952380952401</v>
      </c>
      <c r="H168" s="9">
        <v>27.220238095238098</v>
      </c>
      <c r="I168" s="9">
        <v>31.2708333333333</v>
      </c>
      <c r="J168" s="9">
        <v>31.1875</v>
      </c>
      <c r="K168" s="9">
        <v>32.386904761904802</v>
      </c>
      <c r="L168" s="9">
        <v>31.991071428571399</v>
      </c>
      <c r="M168" s="9">
        <v>30.913690476190499</v>
      </c>
      <c r="N168" s="9">
        <v>32.529761904761898</v>
      </c>
      <c r="O168" s="9">
        <v>17.235119047619001</v>
      </c>
      <c r="P168" s="9">
        <v>22.3720238095238</v>
      </c>
      <c r="Q168" s="9">
        <v>25.5446428571429</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9">
        <v>0</v>
      </c>
      <c r="AO168" s="9">
        <v>0</v>
      </c>
      <c r="AP168" s="9">
        <v>0</v>
      </c>
      <c r="AQ168" s="9">
        <v>0</v>
      </c>
      <c r="AR168" s="9">
        <v>0</v>
      </c>
      <c r="AS168" s="9">
        <v>0</v>
      </c>
      <c r="AT168" s="9">
        <v>0</v>
      </c>
      <c r="AU168" s="9">
        <v>0</v>
      </c>
      <c r="AV168" s="9">
        <v>0</v>
      </c>
      <c r="AW168" s="9">
        <v>0</v>
      </c>
      <c r="AX168" s="9">
        <f t="shared" si="51"/>
        <v>367.10937499999994</v>
      </c>
      <c r="AY168" s="9">
        <f t="shared" si="52"/>
        <v>98.906249999999986</v>
      </c>
      <c r="AZ168" s="9">
        <f t="shared" si="53"/>
        <v>102.565625</v>
      </c>
      <c r="BA168" s="9">
        <f t="shared" si="54"/>
        <v>198.49375000000003</v>
      </c>
      <c r="BB168" s="9">
        <f t="shared" si="55"/>
        <v>168.61562499999997</v>
      </c>
      <c r="BC168" s="19"/>
      <c r="BD168" s="126">
        <v>169.84</v>
      </c>
      <c r="BF168" s="257">
        <v>164.68</v>
      </c>
      <c r="BH168" s="252">
        <v>12</v>
      </c>
      <c r="BI168" s="252">
        <f t="shared" si="56"/>
        <v>12</v>
      </c>
      <c r="BJ168" s="252">
        <f t="shared" si="45"/>
        <v>349.62797619047615</v>
      </c>
      <c r="BK168" s="256">
        <f>IFERROR(BH168*1,SUM(E168:Q168)*$BJ$179)</f>
        <v>12</v>
      </c>
      <c r="BP168" s="252" t="s">
        <v>239</v>
      </c>
      <c r="BQ168" s="252" t="str">
        <f t="shared" si="57"/>
        <v/>
      </c>
      <c r="BR168" s="256" t="str">
        <f t="shared" si="58"/>
        <v/>
      </c>
      <c r="BS168" s="255">
        <f t="shared" si="72"/>
        <v>31.402154121832407</v>
      </c>
      <c r="BU168" s="252">
        <v>0</v>
      </c>
      <c r="BW168" s="9">
        <v>0</v>
      </c>
      <c r="BX168" s="9">
        <v>26</v>
      </c>
      <c r="BY168" s="9">
        <v>28</v>
      </c>
      <c r="BZ168" s="9">
        <v>28</v>
      </c>
      <c r="CA168" s="9">
        <v>28</v>
      </c>
      <c r="CB168" s="9">
        <v>32</v>
      </c>
      <c r="CC168" s="9">
        <v>32</v>
      </c>
      <c r="CD168" s="9">
        <v>32</v>
      </c>
      <c r="CE168" s="9">
        <v>32</v>
      </c>
      <c r="CF168" s="9">
        <v>33</v>
      </c>
      <c r="CG168" s="9">
        <v>39</v>
      </c>
      <c r="CH168" s="9">
        <v>25</v>
      </c>
      <c r="CI168" s="9">
        <v>25</v>
      </c>
      <c r="CJ168" s="9">
        <v>23</v>
      </c>
      <c r="CK168" s="23">
        <f t="shared" si="59"/>
        <v>370</v>
      </c>
      <c r="CL168">
        <f t="shared" si="60"/>
        <v>97</v>
      </c>
      <c r="CM168">
        <f t="shared" si="61"/>
        <v>112</v>
      </c>
      <c r="CN168" s="23">
        <f t="shared" si="62"/>
        <v>193</v>
      </c>
      <c r="CO168" s="176">
        <f t="shared" si="46"/>
        <v>177</v>
      </c>
      <c r="CQ168" s="23">
        <f t="shared" si="63"/>
        <v>206</v>
      </c>
      <c r="CR168" s="23">
        <f t="shared" si="64"/>
        <v>177</v>
      </c>
    </row>
    <row r="169" spans="1:96">
      <c r="A169" t="str">
        <f t="shared" ref="A169:A176" si="73">RIGHT(C169,3)</f>
        <v>751</v>
      </c>
      <c r="B169">
        <f t="shared" ref="B169:B176" si="74">A169*1</f>
        <v>751</v>
      </c>
      <c r="C169" s="57" t="s">
        <v>171</v>
      </c>
      <c r="D169" s="11"/>
      <c r="E169" s="9">
        <f>SUM(0*0.5)</f>
        <v>0</v>
      </c>
      <c r="F169" s="9">
        <v>0</v>
      </c>
      <c r="G169" s="9">
        <v>0</v>
      </c>
      <c r="H169" s="9">
        <v>0</v>
      </c>
      <c r="I169" s="9">
        <v>0</v>
      </c>
      <c r="J169" s="9">
        <v>0</v>
      </c>
      <c r="K169" s="9">
        <v>0</v>
      </c>
      <c r="L169" s="9">
        <v>0</v>
      </c>
      <c r="M169" s="9">
        <v>0</v>
      </c>
      <c r="N169" s="9">
        <v>0</v>
      </c>
      <c r="O169" s="9">
        <v>77.800155096501697</v>
      </c>
      <c r="P169" s="9">
        <v>65.621350354413096</v>
      </c>
      <c r="Q169" s="9">
        <v>47.423165521073003</v>
      </c>
      <c r="R169" s="9">
        <v>0</v>
      </c>
      <c r="S169" s="9">
        <v>0</v>
      </c>
      <c r="T169" s="9">
        <v>0</v>
      </c>
      <c r="U169" s="9">
        <v>0</v>
      </c>
      <c r="V169" s="9">
        <v>0</v>
      </c>
      <c r="W169" s="9">
        <v>0</v>
      </c>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9">
        <v>0</v>
      </c>
      <c r="AO169" s="9">
        <v>0</v>
      </c>
      <c r="AP169" s="9">
        <v>0</v>
      </c>
      <c r="AQ169" s="9">
        <v>0</v>
      </c>
      <c r="AR169" s="9">
        <v>0</v>
      </c>
      <c r="AS169" s="9">
        <v>0</v>
      </c>
      <c r="AT169" s="9">
        <v>0</v>
      </c>
      <c r="AU169" s="9">
        <v>0</v>
      </c>
      <c r="AV169" s="9">
        <v>0</v>
      </c>
      <c r="AW169" s="9">
        <v>0</v>
      </c>
      <c r="AX169" s="9">
        <f t="shared" si="51"/>
        <v>200.38690452058719</v>
      </c>
      <c r="AY169" s="9">
        <f t="shared" si="52"/>
        <v>0</v>
      </c>
      <c r="AZ169" s="9">
        <f t="shared" si="53"/>
        <v>200.38690452058719</v>
      </c>
      <c r="BA169" s="9">
        <f t="shared" si="54"/>
        <v>0</v>
      </c>
      <c r="BB169" s="9">
        <f t="shared" si="55"/>
        <v>200.38690452058719</v>
      </c>
      <c r="BC169" s="19"/>
      <c r="BD169" s="126">
        <v>88.25</v>
      </c>
      <c r="BF169" s="257">
        <v>85.56</v>
      </c>
      <c r="BH169" s="252" t="e">
        <v>#N/A</v>
      </c>
      <c r="BI169" s="252" t="str">
        <f t="shared" si="56"/>
        <v/>
      </c>
      <c r="BJ169" s="252" t="str">
        <f t="shared" si="45"/>
        <v/>
      </c>
      <c r="BK169" s="256">
        <f>IFERROR(BH169*1,SUM(E169:Q169)*$BJ$179)</f>
        <v>23.676757765099069</v>
      </c>
      <c r="BP169" s="252">
        <v>0</v>
      </c>
      <c r="BQ169" s="252">
        <f t="shared" si="57"/>
        <v>0</v>
      </c>
      <c r="BR169" s="256">
        <f t="shared" si="58"/>
        <v>190.8446709719878</v>
      </c>
      <c r="BS169" s="255">
        <f t="shared" si="72"/>
        <v>0</v>
      </c>
      <c r="BU169" s="252">
        <v>0</v>
      </c>
      <c r="BW169" s="9">
        <v>0</v>
      </c>
      <c r="BX169" s="9">
        <v>0</v>
      </c>
      <c r="BY169" s="9">
        <v>0</v>
      </c>
      <c r="BZ169" s="9">
        <v>0</v>
      </c>
      <c r="CA169" s="9">
        <v>0</v>
      </c>
      <c r="CB169" s="9">
        <v>0</v>
      </c>
      <c r="CC169" s="9">
        <v>0</v>
      </c>
      <c r="CD169" s="9">
        <v>0</v>
      </c>
      <c r="CE169" s="9">
        <v>0</v>
      </c>
      <c r="CF169" s="9">
        <v>0</v>
      </c>
      <c r="CG169" s="9">
        <v>0</v>
      </c>
      <c r="CH169" s="9">
        <v>67</v>
      </c>
      <c r="CI169" s="9">
        <v>61</v>
      </c>
      <c r="CJ169" s="9">
        <v>71</v>
      </c>
      <c r="CK169" s="23">
        <f t="shared" si="59"/>
        <v>199</v>
      </c>
      <c r="CL169">
        <f t="shared" si="60"/>
        <v>0</v>
      </c>
      <c r="CM169">
        <f t="shared" si="61"/>
        <v>199</v>
      </c>
      <c r="CN169" s="23">
        <f t="shared" si="62"/>
        <v>0</v>
      </c>
      <c r="CO169" s="176">
        <f t="shared" si="46"/>
        <v>199</v>
      </c>
      <c r="CQ169" s="23">
        <f t="shared" si="63"/>
        <v>0</v>
      </c>
      <c r="CR169" s="23">
        <f t="shared" si="64"/>
        <v>199</v>
      </c>
    </row>
    <row r="170" spans="1:96" ht="43.5">
      <c r="A170" t="str">
        <f t="shared" si="73"/>
        <v>768</v>
      </c>
      <c r="B170">
        <f t="shared" si="74"/>
        <v>768</v>
      </c>
      <c r="C170" s="15" t="s">
        <v>172</v>
      </c>
      <c r="D170" s="11"/>
      <c r="E170" s="9">
        <f t="shared" ref="E170:E172" si="75">SUM(0*0.5)</f>
        <v>0</v>
      </c>
      <c r="F170" s="9">
        <v>0</v>
      </c>
      <c r="G170" s="9">
        <v>0</v>
      </c>
      <c r="H170" s="9">
        <v>0</v>
      </c>
      <c r="I170" s="9">
        <v>0</v>
      </c>
      <c r="J170" s="9">
        <v>0</v>
      </c>
      <c r="K170" s="9">
        <v>0</v>
      </c>
      <c r="L170" s="9">
        <v>0</v>
      </c>
      <c r="M170" s="9">
        <v>0</v>
      </c>
      <c r="N170" s="9">
        <v>60.3735294117647</v>
      </c>
      <c r="O170" s="9">
        <v>49.205882352941202</v>
      </c>
      <c r="P170" s="9">
        <v>47.826470588235303</v>
      </c>
      <c r="Q170" s="9">
        <v>31.15</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c r="AQ170" s="9">
        <v>0</v>
      </c>
      <c r="AR170" s="9">
        <v>0</v>
      </c>
      <c r="AS170" s="9">
        <v>0</v>
      </c>
      <c r="AT170" s="9">
        <v>0</v>
      </c>
      <c r="AU170" s="9">
        <v>0</v>
      </c>
      <c r="AV170" s="9">
        <v>0</v>
      </c>
      <c r="AW170" s="9">
        <v>0</v>
      </c>
      <c r="AX170" s="9">
        <f t="shared" si="51"/>
        <v>197.98367647058828</v>
      </c>
      <c r="AY170" s="9">
        <f t="shared" si="52"/>
        <v>0</v>
      </c>
      <c r="AZ170" s="9">
        <f t="shared" si="53"/>
        <v>197.98367647058828</v>
      </c>
      <c r="BA170" s="9">
        <f t="shared" si="54"/>
        <v>0</v>
      </c>
      <c r="BB170" s="9">
        <f t="shared" si="55"/>
        <v>197.98367647058828</v>
      </c>
      <c r="BC170" s="19"/>
      <c r="BD170" s="126">
        <v>88.69</v>
      </c>
      <c r="BF170" s="257">
        <v>85.99</v>
      </c>
      <c r="BH170" s="252" t="s">
        <v>239</v>
      </c>
      <c r="BI170" s="252" t="str">
        <f t="shared" si="56"/>
        <v/>
      </c>
      <c r="BJ170" s="252">
        <f t="shared" si="45"/>
        <v>188.55588235294121</v>
      </c>
      <c r="BK170" s="256">
        <v>3</v>
      </c>
      <c r="BP170" s="252">
        <v>0</v>
      </c>
      <c r="BQ170" s="252">
        <f t="shared" si="57"/>
        <v>0</v>
      </c>
      <c r="BR170" s="256">
        <f t="shared" si="58"/>
        <v>188.55588235294121</v>
      </c>
      <c r="BS170" s="255">
        <f t="shared" si="72"/>
        <v>0</v>
      </c>
      <c r="BU170" s="252">
        <v>0</v>
      </c>
      <c r="BW170" s="24">
        <v>0</v>
      </c>
      <c r="BX170" s="24">
        <v>0</v>
      </c>
      <c r="BY170" s="24">
        <v>0</v>
      </c>
      <c r="BZ170" s="24">
        <v>0</v>
      </c>
      <c r="CA170" s="24">
        <v>0</v>
      </c>
      <c r="CB170" s="24">
        <v>0</v>
      </c>
      <c r="CC170" s="24">
        <v>0</v>
      </c>
      <c r="CD170" s="24">
        <v>0</v>
      </c>
      <c r="CE170" s="24">
        <v>0</v>
      </c>
      <c r="CF170" s="24">
        <v>0</v>
      </c>
      <c r="CG170" s="24">
        <v>62</v>
      </c>
      <c r="CH170" s="24">
        <v>50</v>
      </c>
      <c r="CI170" s="24">
        <v>43</v>
      </c>
      <c r="CJ170" s="24">
        <v>45</v>
      </c>
      <c r="CK170" s="23">
        <f t="shared" si="59"/>
        <v>200</v>
      </c>
      <c r="CL170">
        <f t="shared" si="60"/>
        <v>0</v>
      </c>
      <c r="CM170">
        <f t="shared" si="61"/>
        <v>200</v>
      </c>
      <c r="CN170" s="23">
        <f t="shared" si="62"/>
        <v>0</v>
      </c>
      <c r="CO170" s="176">
        <f t="shared" si="46"/>
        <v>200</v>
      </c>
      <c r="CQ170" s="23">
        <f t="shared" si="63"/>
        <v>0</v>
      </c>
      <c r="CR170" s="23">
        <f t="shared" si="64"/>
        <v>200</v>
      </c>
    </row>
    <row r="171" spans="1:96" ht="43.5">
      <c r="A171" t="str">
        <f t="shared" si="73"/>
        <v>785</v>
      </c>
      <c r="B171">
        <f t="shared" si="74"/>
        <v>785</v>
      </c>
      <c r="C171" s="15" t="s">
        <v>173</v>
      </c>
      <c r="D171" s="11"/>
      <c r="E171" s="9">
        <f t="shared" si="75"/>
        <v>0</v>
      </c>
      <c r="F171" s="9">
        <v>0</v>
      </c>
      <c r="G171" s="9">
        <v>0</v>
      </c>
      <c r="H171" s="9">
        <v>0</v>
      </c>
      <c r="I171" s="9">
        <v>0</v>
      </c>
      <c r="J171" s="9">
        <v>0</v>
      </c>
      <c r="K171" s="9">
        <v>0</v>
      </c>
      <c r="L171" s="9">
        <v>0</v>
      </c>
      <c r="M171" s="9">
        <v>0</v>
      </c>
      <c r="N171" s="9">
        <v>45.677325581395401</v>
      </c>
      <c r="O171" s="9">
        <v>45.761627906976699</v>
      </c>
      <c r="P171" s="9">
        <v>49.348837209302303</v>
      </c>
      <c r="Q171" s="9">
        <v>42.296511627907002</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9">
        <v>0</v>
      </c>
      <c r="AO171" s="9">
        <v>0</v>
      </c>
      <c r="AP171" s="9">
        <v>0</v>
      </c>
      <c r="AQ171" s="9">
        <v>0</v>
      </c>
      <c r="AR171" s="9">
        <v>0</v>
      </c>
      <c r="AS171" s="9">
        <v>0</v>
      </c>
      <c r="AT171" s="9">
        <v>0</v>
      </c>
      <c r="AU171" s="9">
        <v>0</v>
      </c>
      <c r="AV171" s="9">
        <v>0</v>
      </c>
      <c r="AW171" s="9">
        <v>0</v>
      </c>
      <c r="AX171" s="9">
        <f t="shared" si="51"/>
        <v>192.23851744186049</v>
      </c>
      <c r="AY171" s="9">
        <f t="shared" si="52"/>
        <v>0</v>
      </c>
      <c r="AZ171" s="9">
        <f t="shared" si="53"/>
        <v>192.23851744186049</v>
      </c>
      <c r="BA171" s="9">
        <f t="shared" si="54"/>
        <v>0</v>
      </c>
      <c r="BB171" s="9">
        <f t="shared" si="55"/>
        <v>192.23851744186049</v>
      </c>
      <c r="BC171" s="19"/>
      <c r="BD171" s="126">
        <v>86.03</v>
      </c>
      <c r="BF171" s="257">
        <v>83.41</v>
      </c>
      <c r="BH171" s="252" t="s">
        <v>239</v>
      </c>
      <c r="BI171" s="252" t="str">
        <f t="shared" si="56"/>
        <v/>
      </c>
      <c r="BJ171" s="252">
        <f t="shared" si="45"/>
        <v>183.0843023255814</v>
      </c>
      <c r="BK171" s="256">
        <v>3</v>
      </c>
      <c r="BP171" s="252" t="s">
        <v>239</v>
      </c>
      <c r="BQ171" s="252" t="str">
        <f t="shared" si="57"/>
        <v/>
      </c>
      <c r="BR171" s="256" t="str">
        <f t="shared" si="58"/>
        <v/>
      </c>
      <c r="BS171" s="255">
        <f t="shared" si="72"/>
        <v>16.443882842441358</v>
      </c>
      <c r="BU171" s="252">
        <v>12</v>
      </c>
      <c r="BW171" s="24">
        <v>0</v>
      </c>
      <c r="BX171" s="24">
        <v>0</v>
      </c>
      <c r="BY171" s="24">
        <v>0</v>
      </c>
      <c r="BZ171" s="24">
        <v>0</v>
      </c>
      <c r="CA171" s="24">
        <v>0</v>
      </c>
      <c r="CB171" s="24">
        <v>0</v>
      </c>
      <c r="CC171" s="24">
        <v>0</v>
      </c>
      <c r="CD171" s="24">
        <v>0</v>
      </c>
      <c r="CE171" s="24">
        <v>0</v>
      </c>
      <c r="CF171" s="24">
        <v>0</v>
      </c>
      <c r="CG171" s="24">
        <v>60</v>
      </c>
      <c r="CH171" s="24">
        <v>44</v>
      </c>
      <c r="CI171" s="24">
        <v>40</v>
      </c>
      <c r="CJ171" s="24">
        <v>50</v>
      </c>
      <c r="CK171" s="23">
        <f t="shared" si="59"/>
        <v>194</v>
      </c>
      <c r="CL171">
        <f t="shared" si="60"/>
        <v>0</v>
      </c>
      <c r="CM171">
        <f t="shared" si="61"/>
        <v>194</v>
      </c>
      <c r="CN171" s="23">
        <f t="shared" si="62"/>
        <v>0</v>
      </c>
      <c r="CO171" s="176">
        <f t="shared" si="46"/>
        <v>194</v>
      </c>
      <c r="CQ171" s="23">
        <f t="shared" si="63"/>
        <v>0</v>
      </c>
      <c r="CR171" s="23">
        <f t="shared" si="64"/>
        <v>194</v>
      </c>
    </row>
    <row r="172" spans="1:96" ht="29.25">
      <c r="A172" t="str">
        <f t="shared" si="73"/>
        <v>790</v>
      </c>
      <c r="B172">
        <f t="shared" si="74"/>
        <v>790</v>
      </c>
      <c r="C172" s="15" t="s">
        <v>174</v>
      </c>
      <c r="D172" s="11"/>
      <c r="E172" s="9">
        <f t="shared" si="75"/>
        <v>0</v>
      </c>
      <c r="F172" s="9">
        <v>0</v>
      </c>
      <c r="G172" s="9">
        <v>0</v>
      </c>
      <c r="H172" s="9">
        <v>0</v>
      </c>
      <c r="I172" s="9">
        <v>0</v>
      </c>
      <c r="J172" s="9">
        <v>0</v>
      </c>
      <c r="K172" s="9">
        <v>0</v>
      </c>
      <c r="L172" s="9">
        <v>0</v>
      </c>
      <c r="M172" s="9">
        <v>0</v>
      </c>
      <c r="N172" s="9">
        <v>15.119901815533</v>
      </c>
      <c r="O172" s="9">
        <v>47.753609531645701</v>
      </c>
      <c r="P172" s="9">
        <v>64.432356083192104</v>
      </c>
      <c r="Q172" s="9">
        <v>59.650186476361597</v>
      </c>
      <c r="R172" s="9">
        <v>0</v>
      </c>
      <c r="S172" s="9">
        <v>0</v>
      </c>
      <c r="T172" s="9">
        <v>0</v>
      </c>
      <c r="U172" s="9">
        <v>0</v>
      </c>
      <c r="V172" s="9">
        <v>0</v>
      </c>
      <c r="W172" s="9">
        <v>0</v>
      </c>
      <c r="X172" s="9">
        <v>0</v>
      </c>
      <c r="Y172" s="9">
        <v>0</v>
      </c>
      <c r="Z172" s="9">
        <v>0</v>
      </c>
      <c r="AA172" s="9">
        <v>0</v>
      </c>
      <c r="AB172" s="9">
        <v>0</v>
      </c>
      <c r="AC172" s="9">
        <v>0</v>
      </c>
      <c r="AD172" s="9">
        <v>0</v>
      </c>
      <c r="AE172" s="9">
        <v>0</v>
      </c>
      <c r="AF172" s="9">
        <v>0</v>
      </c>
      <c r="AG172" s="9">
        <v>0</v>
      </c>
      <c r="AH172" s="9">
        <v>0</v>
      </c>
      <c r="AI172" s="9">
        <v>0</v>
      </c>
      <c r="AJ172" s="9">
        <v>0</v>
      </c>
      <c r="AK172" s="9">
        <v>0</v>
      </c>
      <c r="AL172" s="9">
        <v>0</v>
      </c>
      <c r="AM172" s="9">
        <v>0</v>
      </c>
      <c r="AN172" s="9">
        <v>0</v>
      </c>
      <c r="AO172" s="9">
        <v>0</v>
      </c>
      <c r="AP172" s="9">
        <v>0</v>
      </c>
      <c r="AQ172" s="9">
        <v>0</v>
      </c>
      <c r="AR172" s="9">
        <v>0</v>
      </c>
      <c r="AS172" s="9">
        <v>0</v>
      </c>
      <c r="AT172" s="9">
        <v>0</v>
      </c>
      <c r="AU172" s="9">
        <v>0</v>
      </c>
      <c r="AV172" s="9">
        <v>0</v>
      </c>
      <c r="AW172" s="9">
        <v>0</v>
      </c>
      <c r="AX172" s="9">
        <f t="shared" si="51"/>
        <v>196.30385660206903</v>
      </c>
      <c r="AY172" s="9">
        <f t="shared" si="52"/>
        <v>0</v>
      </c>
      <c r="AZ172" s="9">
        <f t="shared" si="53"/>
        <v>196.30385660206903</v>
      </c>
      <c r="BA172" s="9">
        <f t="shared" si="54"/>
        <v>0</v>
      </c>
      <c r="BB172" s="9">
        <f t="shared" si="55"/>
        <v>196.30385660206903</v>
      </c>
      <c r="BC172" s="19"/>
      <c r="BD172" s="126">
        <v>88.69</v>
      </c>
      <c r="BF172" s="257">
        <v>85.99</v>
      </c>
      <c r="BH172" s="252" t="e">
        <v>#N/A</v>
      </c>
      <c r="BI172" s="252" t="str">
        <f t="shared" si="56"/>
        <v/>
      </c>
      <c r="BJ172" s="252" t="str">
        <f t="shared" si="45"/>
        <v/>
      </c>
      <c r="BK172" s="256">
        <f>IFERROR(BH172*1,SUM(E172:Q172)*$BJ$179)</f>
        <v>23.194324360873722</v>
      </c>
      <c r="BP172" s="252">
        <v>0</v>
      </c>
      <c r="BQ172" s="252">
        <f t="shared" si="57"/>
        <v>0</v>
      </c>
      <c r="BR172" s="256">
        <f t="shared" si="58"/>
        <v>186.95605390673239</v>
      </c>
      <c r="BS172" s="255">
        <f t="shared" si="72"/>
        <v>0</v>
      </c>
      <c r="BU172" s="252">
        <v>5</v>
      </c>
      <c r="BW172" s="9">
        <v>0</v>
      </c>
      <c r="BX172" s="9">
        <v>0</v>
      </c>
      <c r="BY172" s="9">
        <v>0</v>
      </c>
      <c r="BZ172" s="9">
        <v>0</v>
      </c>
      <c r="CA172" s="9">
        <v>0</v>
      </c>
      <c r="CB172" s="9">
        <v>0</v>
      </c>
      <c r="CC172" s="9">
        <v>0</v>
      </c>
      <c r="CD172" s="9">
        <v>0</v>
      </c>
      <c r="CE172" s="9">
        <v>0</v>
      </c>
      <c r="CF172" s="9">
        <v>0</v>
      </c>
      <c r="CG172" s="9">
        <v>12</v>
      </c>
      <c r="CH172" s="9">
        <v>44</v>
      </c>
      <c r="CI172" s="9">
        <v>95</v>
      </c>
      <c r="CJ172" s="9">
        <v>49</v>
      </c>
      <c r="CK172" s="23">
        <f t="shared" si="59"/>
        <v>200</v>
      </c>
      <c r="CL172">
        <f t="shared" si="60"/>
        <v>0</v>
      </c>
      <c r="CM172">
        <f t="shared" si="61"/>
        <v>200</v>
      </c>
      <c r="CN172" s="23">
        <f t="shared" si="62"/>
        <v>0</v>
      </c>
      <c r="CO172" s="176">
        <f t="shared" si="46"/>
        <v>200</v>
      </c>
      <c r="CQ172" s="23">
        <f t="shared" si="63"/>
        <v>0</v>
      </c>
      <c r="CR172" s="23">
        <f t="shared" si="64"/>
        <v>200</v>
      </c>
    </row>
    <row r="173" spans="1:96" ht="43.5">
      <c r="A173" t="str">
        <f t="shared" si="73"/>
        <v>794</v>
      </c>
      <c r="B173">
        <f t="shared" si="74"/>
        <v>794</v>
      </c>
      <c r="C173" s="57" t="s">
        <v>175</v>
      </c>
      <c r="D173" s="11"/>
      <c r="E173" s="9">
        <f>SUM(0*0.5)</f>
        <v>0</v>
      </c>
      <c r="F173" s="9">
        <v>0</v>
      </c>
      <c r="G173" s="9">
        <v>0</v>
      </c>
      <c r="H173" s="9">
        <v>0</v>
      </c>
      <c r="I173" s="9">
        <v>0</v>
      </c>
      <c r="J173" s="9">
        <v>0</v>
      </c>
      <c r="K173" s="9">
        <v>0</v>
      </c>
      <c r="L173" s="9">
        <v>0</v>
      </c>
      <c r="M173" s="9">
        <v>0</v>
      </c>
      <c r="N173" s="9">
        <v>8.3284883720930196</v>
      </c>
      <c r="O173" s="9">
        <v>13.968023255814</v>
      </c>
      <c r="P173" s="9">
        <v>13.2790697674419</v>
      </c>
      <c r="Q173" s="9">
        <v>16.078488372092998</v>
      </c>
      <c r="R173" s="9">
        <v>0</v>
      </c>
      <c r="S173" s="9">
        <v>0</v>
      </c>
      <c r="T173" s="9">
        <v>0</v>
      </c>
      <c r="U173" s="9">
        <v>0</v>
      </c>
      <c r="V173" s="9">
        <v>0</v>
      </c>
      <c r="W173" s="9">
        <v>0</v>
      </c>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0</v>
      </c>
      <c r="AN173" s="9">
        <v>0</v>
      </c>
      <c r="AO173" s="9">
        <v>0</v>
      </c>
      <c r="AP173" s="9">
        <v>0</v>
      </c>
      <c r="AQ173" s="9">
        <v>0</v>
      </c>
      <c r="AR173" s="9">
        <v>0</v>
      </c>
      <c r="AS173" s="9">
        <v>0</v>
      </c>
      <c r="AT173" s="9">
        <v>0</v>
      </c>
      <c r="AU173" s="9">
        <v>0</v>
      </c>
      <c r="AV173" s="9">
        <v>0</v>
      </c>
      <c r="AW173" s="9">
        <v>0</v>
      </c>
      <c r="AX173" s="9">
        <f t="shared" si="51"/>
        <v>54.236773255814015</v>
      </c>
      <c r="AY173" s="9">
        <f t="shared" si="52"/>
        <v>0</v>
      </c>
      <c r="AZ173" s="9">
        <f t="shared" si="53"/>
        <v>54.236773255814015</v>
      </c>
      <c r="BA173" s="9">
        <f t="shared" si="54"/>
        <v>0</v>
      </c>
      <c r="BB173" s="9">
        <f t="shared" si="55"/>
        <v>54.236773255814015</v>
      </c>
      <c r="BC173" s="19"/>
      <c r="BD173" s="126">
        <v>86.47</v>
      </c>
      <c r="BF173" s="257">
        <v>83.84</v>
      </c>
      <c r="BH173" s="252" t="e">
        <v>#N/A</v>
      </c>
      <c r="BI173" s="252" t="str">
        <f t="shared" si="56"/>
        <v/>
      </c>
      <c r="BJ173" s="252" t="str">
        <f t="shared" si="45"/>
        <v/>
      </c>
      <c r="BK173" s="256">
        <f>IFERROR(BH173*1,SUM(E173:Q173)*$BJ$179)</f>
        <v>6.4083575990694639</v>
      </c>
      <c r="BP173" s="252">
        <v>6</v>
      </c>
      <c r="BQ173" s="252">
        <f t="shared" si="57"/>
        <v>6</v>
      </c>
      <c r="BR173" s="256">
        <f t="shared" si="58"/>
        <v>51.654069767441918</v>
      </c>
      <c r="BS173" s="255">
        <f t="shared" si="72"/>
        <v>6</v>
      </c>
      <c r="BU173" s="252">
        <v>0</v>
      </c>
      <c r="BW173" s="9">
        <v>0</v>
      </c>
      <c r="BX173" s="9">
        <v>0</v>
      </c>
      <c r="BY173" s="9">
        <v>0</v>
      </c>
      <c r="BZ173" s="9">
        <v>0</v>
      </c>
      <c r="CA173" s="9">
        <v>0</v>
      </c>
      <c r="CB173" s="9">
        <v>0</v>
      </c>
      <c r="CC173" s="9">
        <v>0</v>
      </c>
      <c r="CD173" s="9">
        <v>0</v>
      </c>
      <c r="CE173" s="9">
        <v>0</v>
      </c>
      <c r="CF173" s="9">
        <v>0</v>
      </c>
      <c r="CG173" s="9">
        <v>52</v>
      </c>
      <c r="CH173" s="9">
        <v>57</v>
      </c>
      <c r="CI173" s="9">
        <v>45</v>
      </c>
      <c r="CJ173" s="9">
        <v>41</v>
      </c>
      <c r="CK173" s="23">
        <f t="shared" si="59"/>
        <v>195</v>
      </c>
      <c r="CL173">
        <f t="shared" si="60"/>
        <v>0</v>
      </c>
      <c r="CM173">
        <f t="shared" si="61"/>
        <v>195</v>
      </c>
      <c r="CN173" s="23">
        <f t="shared" si="62"/>
        <v>0</v>
      </c>
      <c r="CO173" s="176">
        <f t="shared" si="46"/>
        <v>195</v>
      </c>
      <c r="CQ173" s="23">
        <f t="shared" si="63"/>
        <v>0</v>
      </c>
      <c r="CR173" s="23">
        <f t="shared" si="64"/>
        <v>195</v>
      </c>
    </row>
    <row r="174" spans="1:96" ht="29.25">
      <c r="A174" t="str">
        <f t="shared" si="73"/>
        <v>795</v>
      </c>
      <c r="B174">
        <f t="shared" si="74"/>
        <v>795</v>
      </c>
      <c r="C174" s="15" t="s">
        <v>176</v>
      </c>
      <c r="D174" s="11"/>
      <c r="E174" s="9">
        <f>SUM(112.473988439306*0.5)</f>
        <v>56.236994219652999</v>
      </c>
      <c r="F174" s="9">
        <v>114.25</v>
      </c>
      <c r="G174" s="9">
        <v>111.830459770115</v>
      </c>
      <c r="H174" s="9">
        <v>117.741379310345</v>
      </c>
      <c r="I174" s="9">
        <v>109.497126436782</v>
      </c>
      <c r="J174" s="9">
        <v>112.192528735632</v>
      </c>
      <c r="K174" s="9">
        <v>57.048850574712603</v>
      </c>
      <c r="L174" s="9">
        <v>58.1867816091954</v>
      </c>
      <c r="M174" s="9">
        <v>57.3764367816092</v>
      </c>
      <c r="N174" s="9">
        <v>50.163793103448299</v>
      </c>
      <c r="O174" s="9">
        <v>49.3333333333333</v>
      </c>
      <c r="P174" s="9">
        <v>47.068965517241402</v>
      </c>
      <c r="Q174" s="9">
        <v>59.408045977011497</v>
      </c>
      <c r="R174" s="9">
        <v>0</v>
      </c>
      <c r="S174" s="9">
        <v>0</v>
      </c>
      <c r="T174" s="9">
        <v>0</v>
      </c>
      <c r="U174" s="9">
        <v>0</v>
      </c>
      <c r="V174" s="9">
        <v>0</v>
      </c>
      <c r="W174" s="9">
        <v>0</v>
      </c>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0</v>
      </c>
      <c r="AN174" s="9">
        <v>0</v>
      </c>
      <c r="AO174" s="9">
        <v>0</v>
      </c>
      <c r="AP174" s="9">
        <v>0</v>
      </c>
      <c r="AQ174" s="9">
        <v>0</v>
      </c>
      <c r="AR174" s="9">
        <v>0</v>
      </c>
      <c r="AS174" s="9">
        <v>0</v>
      </c>
      <c r="AT174" s="9">
        <v>0</v>
      </c>
      <c r="AU174" s="9">
        <v>0</v>
      </c>
      <c r="AV174" s="9">
        <v>0</v>
      </c>
      <c r="AW174" s="9">
        <v>0</v>
      </c>
      <c r="AX174" s="9">
        <f t="shared" si="51"/>
        <v>1050.3514301375326</v>
      </c>
      <c r="AY174" s="9">
        <f t="shared" si="52"/>
        <v>420.06177496511867</v>
      </c>
      <c r="AZ174" s="9">
        <f t="shared" si="53"/>
        <v>216.2728448275862</v>
      </c>
      <c r="BA174" s="9">
        <f t="shared" si="54"/>
        <v>712.73720599960154</v>
      </c>
      <c r="BB174" s="9">
        <f t="shared" si="55"/>
        <v>337.6142241379311</v>
      </c>
      <c r="BC174" s="19"/>
      <c r="BD174" s="126">
        <v>521.51</v>
      </c>
      <c r="BE174" s="9">
        <v>468</v>
      </c>
      <c r="BF174" s="257">
        <v>505.64</v>
      </c>
      <c r="BH174" s="252">
        <v>61</v>
      </c>
      <c r="BI174" s="252">
        <f t="shared" si="56"/>
        <v>61</v>
      </c>
      <c r="BJ174" s="252">
        <f t="shared" si="45"/>
        <v>1000.3346953690785</v>
      </c>
      <c r="BK174" s="256">
        <f>IFERROR(BH174*1,SUM(E174:Q174)*$BJ$179)</f>
        <v>61</v>
      </c>
      <c r="BP174" s="252">
        <v>32</v>
      </c>
      <c r="BQ174" s="252">
        <f t="shared" si="57"/>
        <v>32</v>
      </c>
      <c r="BR174" s="256">
        <f t="shared" si="58"/>
        <v>1000.3346953690785</v>
      </c>
      <c r="BS174" s="255">
        <f t="shared" si="72"/>
        <v>32</v>
      </c>
      <c r="BU174" s="252">
        <v>0</v>
      </c>
      <c r="BW174" s="9">
        <v>0</v>
      </c>
      <c r="BX174" s="9">
        <v>120</v>
      </c>
      <c r="BY174" s="9">
        <v>120</v>
      </c>
      <c r="BZ174" s="9">
        <v>117</v>
      </c>
      <c r="CA174" s="9">
        <v>120</v>
      </c>
      <c r="CB174" s="9">
        <v>121</v>
      </c>
      <c r="CC174" s="9">
        <v>121</v>
      </c>
      <c r="CD174" s="9">
        <v>119</v>
      </c>
      <c r="CE174" s="9">
        <v>65</v>
      </c>
      <c r="CF174" s="9">
        <v>60</v>
      </c>
      <c r="CG174" s="9">
        <v>60</v>
      </c>
      <c r="CH174" s="9">
        <v>54</v>
      </c>
      <c r="CI174" s="9">
        <v>47</v>
      </c>
      <c r="CJ174" s="9">
        <v>52</v>
      </c>
      <c r="CK174" s="23">
        <f t="shared" si="59"/>
        <v>1116</v>
      </c>
      <c r="CL174">
        <f t="shared" si="60"/>
        <v>417</v>
      </c>
      <c r="CM174">
        <f t="shared" si="61"/>
        <v>213</v>
      </c>
      <c r="CN174" s="23">
        <f t="shared" si="62"/>
        <v>778</v>
      </c>
      <c r="CO174" s="176">
        <f t="shared" si="46"/>
        <v>338</v>
      </c>
      <c r="CQ174" s="23">
        <f t="shared" si="63"/>
        <v>838</v>
      </c>
      <c r="CR174" s="23">
        <f t="shared" si="64"/>
        <v>338</v>
      </c>
    </row>
    <row r="175" spans="1:96" ht="29.25">
      <c r="A175" t="str">
        <f t="shared" si="73"/>
        <v>796</v>
      </c>
      <c r="B175">
        <f t="shared" si="74"/>
        <v>796</v>
      </c>
      <c r="C175" s="15" t="s">
        <v>177</v>
      </c>
      <c r="D175" s="11"/>
      <c r="E175" s="9">
        <f>SUM(45.1186072913043*0.5)</f>
        <v>22.55930364565215</v>
      </c>
      <c r="F175" s="9">
        <v>47.345714285714301</v>
      </c>
      <c r="G175" s="9">
        <v>37.528571428571396</v>
      </c>
      <c r="H175" s="9">
        <v>46.351428571428599</v>
      </c>
      <c r="I175" s="9">
        <v>36.365714285714297</v>
      </c>
      <c r="J175" s="9">
        <v>56.1228571428571</v>
      </c>
      <c r="K175" s="9">
        <v>0</v>
      </c>
      <c r="L175" s="9">
        <v>0</v>
      </c>
      <c r="M175" s="9">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9">
        <v>0</v>
      </c>
      <c r="AO175" s="9">
        <v>0</v>
      </c>
      <c r="AP175" s="9">
        <v>0</v>
      </c>
      <c r="AQ175" s="9">
        <v>0</v>
      </c>
      <c r="AR175" s="9">
        <v>0</v>
      </c>
      <c r="AS175" s="9">
        <v>0</v>
      </c>
      <c r="AT175" s="9">
        <v>0</v>
      </c>
      <c r="AU175" s="9">
        <v>0</v>
      </c>
      <c r="AV175" s="9">
        <v>0</v>
      </c>
      <c r="AW175" s="9">
        <v>0</v>
      </c>
      <c r="AX175" s="9">
        <f t="shared" si="51"/>
        <v>258.58726882793474</v>
      </c>
      <c r="AY175" s="9">
        <f t="shared" si="52"/>
        <v>161.47426882793476</v>
      </c>
      <c r="AZ175" s="9">
        <f t="shared" si="53"/>
        <v>0</v>
      </c>
      <c r="BA175" s="9">
        <f t="shared" si="54"/>
        <v>258.58726882793474</v>
      </c>
      <c r="BB175" s="9">
        <f t="shared" si="55"/>
        <v>0</v>
      </c>
      <c r="BC175" s="19"/>
      <c r="BD175" s="126">
        <v>160.97999999999999</v>
      </c>
      <c r="BE175" s="20"/>
      <c r="BF175" s="257">
        <v>156.08000000000001</v>
      </c>
      <c r="BH175" s="252">
        <v>33</v>
      </c>
      <c r="BI175" s="252">
        <f t="shared" si="56"/>
        <v>33</v>
      </c>
      <c r="BJ175" s="252">
        <f t="shared" si="45"/>
        <v>246.27358935993783</v>
      </c>
      <c r="BK175" s="256">
        <f>IFERROR(BH175*1,SUM(E175:Q175)*$BJ$179)</f>
        <v>33</v>
      </c>
      <c r="BP175" s="252">
        <v>8</v>
      </c>
      <c r="BQ175" s="252">
        <f t="shared" si="57"/>
        <v>8</v>
      </c>
      <c r="BR175" s="256">
        <f t="shared" si="58"/>
        <v>246.27358935993783</v>
      </c>
      <c r="BS175" s="255">
        <f t="shared" si="72"/>
        <v>8</v>
      </c>
      <c r="BU175" s="252">
        <v>1</v>
      </c>
      <c r="BW175" s="24">
        <v>0</v>
      </c>
      <c r="BX175" s="24">
        <v>49</v>
      </c>
      <c r="BY175" s="24">
        <v>50</v>
      </c>
      <c r="BZ175" s="24">
        <v>50</v>
      </c>
      <c r="CA175" s="24">
        <v>48</v>
      </c>
      <c r="CB175" s="24">
        <v>60</v>
      </c>
      <c r="CC175" s="24">
        <v>48</v>
      </c>
      <c r="CD175" s="24">
        <v>58</v>
      </c>
      <c r="CE175" s="24">
        <v>0</v>
      </c>
      <c r="CF175" s="24">
        <v>0</v>
      </c>
      <c r="CG175" s="24">
        <v>0</v>
      </c>
      <c r="CH175" s="24">
        <v>0</v>
      </c>
      <c r="CI175" s="24">
        <v>0</v>
      </c>
      <c r="CJ175" s="24">
        <v>0</v>
      </c>
      <c r="CK175" s="23">
        <f t="shared" si="59"/>
        <v>338.5</v>
      </c>
      <c r="CL175">
        <f t="shared" si="60"/>
        <v>172.5</v>
      </c>
      <c r="CM175">
        <f t="shared" si="61"/>
        <v>0</v>
      </c>
      <c r="CN175" s="23">
        <f t="shared" si="62"/>
        <v>338.5</v>
      </c>
      <c r="CO175" s="176">
        <f t="shared" si="46"/>
        <v>0</v>
      </c>
      <c r="CQ175" s="23">
        <f t="shared" si="63"/>
        <v>363</v>
      </c>
      <c r="CR175" s="23">
        <f t="shared" si="64"/>
        <v>0</v>
      </c>
    </row>
    <row r="176" spans="1:96" ht="29.25">
      <c r="A176" t="str">
        <f t="shared" si="73"/>
        <v>813</v>
      </c>
      <c r="B176">
        <f t="shared" si="74"/>
        <v>813</v>
      </c>
      <c r="C176" s="15" t="s">
        <v>178</v>
      </c>
      <c r="D176" s="11"/>
      <c r="E176" s="9">
        <f>SUM(20.1911764705882*0.5)</f>
        <v>10.0955882352941</v>
      </c>
      <c r="F176" s="9">
        <v>21.0617647058824</v>
      </c>
      <c r="G176" s="9">
        <v>20.220588235294102</v>
      </c>
      <c r="H176" s="9">
        <v>19.479411764705901</v>
      </c>
      <c r="I176" s="9">
        <v>21.388235294117599</v>
      </c>
      <c r="J176" s="9">
        <v>16.047058823529401</v>
      </c>
      <c r="K176" s="9">
        <v>18.0529411764706</v>
      </c>
      <c r="L176" s="9">
        <v>13.3323529411765</v>
      </c>
      <c r="M176" s="9">
        <v>9.6617647058823497</v>
      </c>
      <c r="N176" s="9">
        <v>0</v>
      </c>
      <c r="O176" s="9">
        <v>0</v>
      </c>
      <c r="P176" s="9">
        <v>0</v>
      </c>
      <c r="Q176" s="9">
        <v>0</v>
      </c>
      <c r="R176" s="9">
        <v>0</v>
      </c>
      <c r="S176" s="9">
        <v>0</v>
      </c>
      <c r="T176" s="9">
        <v>0</v>
      </c>
      <c r="U176" s="9">
        <v>0</v>
      </c>
      <c r="V176" s="9">
        <v>0</v>
      </c>
      <c r="W176" s="9">
        <v>0</v>
      </c>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9">
        <v>0</v>
      </c>
      <c r="AO176" s="9">
        <v>0</v>
      </c>
      <c r="AP176" s="9">
        <v>0</v>
      </c>
      <c r="AQ176" s="9">
        <v>0</v>
      </c>
      <c r="AR176" s="9">
        <v>0</v>
      </c>
      <c r="AS176" s="9">
        <v>0</v>
      </c>
      <c r="AT176" s="9">
        <v>0</v>
      </c>
      <c r="AU176" s="9">
        <v>0</v>
      </c>
      <c r="AV176" s="9">
        <v>0</v>
      </c>
      <c r="AW176" s="9">
        <v>0</v>
      </c>
      <c r="AX176" s="9">
        <f t="shared" si="51"/>
        <v>156.80669117647059</v>
      </c>
      <c r="AY176" s="9">
        <f t="shared" si="52"/>
        <v>74.400220588235328</v>
      </c>
      <c r="AZ176" s="9">
        <f t="shared" si="53"/>
        <v>0</v>
      </c>
      <c r="BA176" s="9">
        <f t="shared" si="54"/>
        <v>132.66286764705879</v>
      </c>
      <c r="BB176" s="9">
        <f t="shared" si="55"/>
        <v>24.143823529411794</v>
      </c>
      <c r="BC176" s="19"/>
      <c r="BD176" s="126">
        <v>78.05</v>
      </c>
      <c r="BE176" s="9">
        <v>47</v>
      </c>
      <c r="BF176" s="257">
        <v>75.67</v>
      </c>
      <c r="BH176" s="252">
        <v>16</v>
      </c>
      <c r="BI176" s="252">
        <f t="shared" si="56"/>
        <v>16</v>
      </c>
      <c r="BJ176" s="252">
        <f t="shared" si="45"/>
        <v>149.33970588235294</v>
      </c>
      <c r="BK176" s="256">
        <f>IFERROR(BH176*1,SUM(E176:Q176)*$BJ$179)</f>
        <v>16</v>
      </c>
      <c r="BP176" s="252" t="s">
        <v>239</v>
      </c>
      <c r="BQ176" s="252" t="str">
        <f t="shared" si="57"/>
        <v/>
      </c>
      <c r="BR176" s="256" t="str">
        <f t="shared" si="58"/>
        <v/>
      </c>
      <c r="BS176" s="255">
        <f t="shared" si="72"/>
        <v>13.413081274914617</v>
      </c>
      <c r="BU176" s="252">
        <v>8</v>
      </c>
      <c r="BW176" s="9">
        <v>0</v>
      </c>
      <c r="BX176" s="9">
        <v>22</v>
      </c>
      <c r="BY176" s="9">
        <v>18</v>
      </c>
      <c r="BZ176" s="9">
        <v>22</v>
      </c>
      <c r="CA176" s="9">
        <v>22</v>
      </c>
      <c r="CB176" s="9">
        <v>19</v>
      </c>
      <c r="CC176" s="9">
        <v>22</v>
      </c>
      <c r="CD176" s="9">
        <v>17</v>
      </c>
      <c r="CE176" s="9">
        <v>18</v>
      </c>
      <c r="CF176" s="9">
        <v>16</v>
      </c>
      <c r="CG176" s="9">
        <v>0</v>
      </c>
      <c r="CH176" s="9">
        <v>0</v>
      </c>
      <c r="CI176" s="9">
        <v>0</v>
      </c>
      <c r="CJ176" s="9">
        <v>0</v>
      </c>
      <c r="CK176" s="23">
        <f t="shared" si="59"/>
        <v>165</v>
      </c>
      <c r="CL176">
        <f t="shared" si="60"/>
        <v>73</v>
      </c>
      <c r="CM176">
        <f t="shared" si="61"/>
        <v>0</v>
      </c>
      <c r="CN176" s="23">
        <f t="shared" si="62"/>
        <v>131</v>
      </c>
      <c r="CO176" s="176">
        <f t="shared" si="46"/>
        <v>34</v>
      </c>
      <c r="CQ176" s="23">
        <f t="shared" si="63"/>
        <v>142</v>
      </c>
      <c r="CR176" s="23">
        <f t="shared" si="64"/>
        <v>34</v>
      </c>
    </row>
    <row r="177" spans="1:91">
      <c r="BK177" s="256"/>
    </row>
    <row r="178" spans="1:91">
      <c r="A178" s="9" t="s">
        <v>234</v>
      </c>
      <c r="E178" s="9">
        <f>SUM(E4:E177)</f>
        <v>9848.1248190202368</v>
      </c>
      <c r="F178" s="9">
        <f>SUM(F4:F177)</f>
        <v>20942.775373744833</v>
      </c>
      <c r="G178" s="9">
        <f t="shared" ref="G178:BB178" si="76">SUM(G4:G177)</f>
        <v>21182.946124297679</v>
      </c>
      <c r="H178" s="9">
        <f t="shared" si="76"/>
        <v>21917.900325819006</v>
      </c>
      <c r="I178" s="9">
        <f t="shared" si="76"/>
        <v>22743.874418273113</v>
      </c>
      <c r="J178" s="9">
        <f t="shared" si="76"/>
        <v>22835.873244874765</v>
      </c>
      <c r="K178" s="9">
        <f t="shared" si="76"/>
        <v>22452.889581199448</v>
      </c>
      <c r="L178" s="9">
        <f t="shared" si="76"/>
        <v>22476.821556655923</v>
      </c>
      <c r="M178" s="9">
        <f t="shared" si="76"/>
        <v>21694.043599000965</v>
      </c>
      <c r="N178" s="9">
        <f t="shared" si="76"/>
        <v>21538.543283930019</v>
      </c>
      <c r="O178" s="9">
        <f t="shared" si="76"/>
        <v>20319.378220064777</v>
      </c>
      <c r="P178" s="9">
        <f t="shared" si="76"/>
        <v>19051.737690472397</v>
      </c>
      <c r="Q178" s="9">
        <f t="shared" si="76"/>
        <v>17369.38579764685</v>
      </c>
      <c r="R178" s="9">
        <f t="shared" si="76"/>
        <v>71.971178380614688</v>
      </c>
      <c r="S178" s="9">
        <f t="shared" si="76"/>
        <v>216.98918950598136</v>
      </c>
      <c r="T178" s="9">
        <f t="shared" si="76"/>
        <v>265.2275158409609</v>
      </c>
      <c r="U178" s="9">
        <f t="shared" si="76"/>
        <v>510.20670760528458</v>
      </c>
      <c r="V178" s="9">
        <f t="shared" si="76"/>
        <v>886.15550210629397</v>
      </c>
      <c r="W178" s="9">
        <f t="shared" si="76"/>
        <v>1283.3129135011791</v>
      </c>
      <c r="X178" s="9">
        <f t="shared" si="76"/>
        <v>1675.8506283949268</v>
      </c>
      <c r="Y178" s="9">
        <f t="shared" si="76"/>
        <v>1.2749999999999999</v>
      </c>
      <c r="Z178" s="9">
        <f t="shared" si="76"/>
        <v>1.3555555555555561</v>
      </c>
      <c r="AA178" s="9">
        <f t="shared" si="76"/>
        <v>5.3334503728202387</v>
      </c>
      <c r="AB178" s="9">
        <f t="shared" si="76"/>
        <v>8.5248684071432912</v>
      </c>
      <c r="AC178" s="9">
        <f t="shared" si="76"/>
        <v>13.247258100803167</v>
      </c>
      <c r="AD178" s="9">
        <f t="shared" si="76"/>
        <v>31.154065984480603</v>
      </c>
      <c r="AE178" s="9">
        <f t="shared" si="76"/>
        <v>32.674401532038374</v>
      </c>
      <c r="AF178" s="9">
        <f t="shared" si="76"/>
        <v>34.947435033627997</v>
      </c>
      <c r="AG178" s="9">
        <f t="shared" si="76"/>
        <v>25.061673067499928</v>
      </c>
      <c r="AH178" s="9">
        <f t="shared" si="76"/>
        <v>1</v>
      </c>
      <c r="AI178" s="9">
        <f t="shared" si="76"/>
        <v>4.64285714285715E-2</v>
      </c>
      <c r="AJ178" s="9">
        <f t="shared" si="76"/>
        <v>2.1442115593643578</v>
      </c>
      <c r="AK178" s="9">
        <f t="shared" si="76"/>
        <v>6.3315024855469204</v>
      </c>
      <c r="AL178" s="9">
        <f t="shared" si="76"/>
        <v>11.988607535796783</v>
      </c>
      <c r="AM178" s="9">
        <f t="shared" si="76"/>
        <v>20.040687024508941</v>
      </c>
      <c r="AN178" s="9">
        <f t="shared" si="76"/>
        <v>33.388170788444938</v>
      </c>
      <c r="AO178" s="9">
        <f t="shared" si="76"/>
        <v>32.850443748990202</v>
      </c>
      <c r="AP178" s="9">
        <f t="shared" si="76"/>
        <v>15.321261170435928</v>
      </c>
      <c r="AQ178" s="9">
        <f t="shared" si="76"/>
        <v>158.98215294117654</v>
      </c>
      <c r="AR178" s="9">
        <f t="shared" si="76"/>
        <v>325.69923137254904</v>
      </c>
      <c r="AS178" s="9">
        <f t="shared" si="76"/>
        <v>425.67212549019621</v>
      </c>
      <c r="AT178" s="9">
        <f t="shared" si="76"/>
        <v>538.2362823529412</v>
      </c>
      <c r="AU178" s="9">
        <f t="shared" si="76"/>
        <v>695.99160392156864</v>
      </c>
      <c r="AV178" s="9">
        <f t="shared" si="76"/>
        <v>673.83627450980373</v>
      </c>
      <c r="AW178" s="9">
        <f t="shared" si="76"/>
        <v>486.99459215686272</v>
      </c>
      <c r="AX178" s="9">
        <f>SUM(AX4:AX177)</f>
        <v>286509.41020171955</v>
      </c>
      <c r="AY178" s="9">
        <f t="shared" si="76"/>
        <v>77586.33397502586</v>
      </c>
      <c r="AZ178" s="9">
        <f t="shared" si="76"/>
        <v>89517.821016763599</v>
      </c>
      <c r="BA178" s="9">
        <f t="shared" si="76"/>
        <v>149274.81645784056</v>
      </c>
      <c r="BB178" s="9">
        <f t="shared" si="76"/>
        <v>137234.59374387914</v>
      </c>
      <c r="BH178" s="252" t="e">
        <f>SUM(BH4:BH176)</f>
        <v>#N/A</v>
      </c>
      <c r="BI178" s="252">
        <f>SUM(BI4:BI176)</f>
        <v>32727</v>
      </c>
      <c r="BJ178" s="252">
        <f>SUM(BJ4:BJ176)</f>
        <v>263793.44709548372</v>
      </c>
      <c r="BK178" s="252">
        <f>SUM(BK4:BK176)</f>
        <v>32945.749014077039</v>
      </c>
      <c r="BQ178" s="252">
        <f>SUM(BQ4:BQ176)</f>
        <v>22641</v>
      </c>
      <c r="BR178" s="252">
        <f>SUM(BR4:BR176)</f>
        <v>252082.29276936789</v>
      </c>
      <c r="BU178" s="252">
        <f>SUM(BU4:BU176)</f>
        <v>16951</v>
      </c>
      <c r="BW178" s="9">
        <f>SUM(BW4:BW177)</f>
        <v>3468</v>
      </c>
      <c r="BX178" s="9">
        <f t="shared" ref="BX178:CM178" si="77">SUM(BX4:BX177)</f>
        <v>21496</v>
      </c>
      <c r="BY178" s="9">
        <f t="shared" si="77"/>
        <v>22364</v>
      </c>
      <c r="BZ178" s="9">
        <f t="shared" si="77"/>
        <v>22651</v>
      </c>
      <c r="CA178" s="9">
        <f t="shared" si="77"/>
        <v>23057</v>
      </c>
      <c r="CB178" s="9">
        <f t="shared" si="77"/>
        <v>23686</v>
      </c>
      <c r="CC178" s="9">
        <f t="shared" si="77"/>
        <v>24614</v>
      </c>
      <c r="CD178" s="9">
        <f t="shared" si="77"/>
        <v>24836</v>
      </c>
      <c r="CE178" s="9">
        <f t="shared" si="77"/>
        <v>24468</v>
      </c>
      <c r="CF178" s="9">
        <f t="shared" si="77"/>
        <v>24536</v>
      </c>
      <c r="CG178" s="9">
        <f t="shared" si="77"/>
        <v>24222</v>
      </c>
      <c r="CH178" s="9">
        <f t="shared" si="77"/>
        <v>23560</v>
      </c>
      <c r="CI178" s="9">
        <f t="shared" si="77"/>
        <v>22523</v>
      </c>
      <c r="CJ178" s="9">
        <f t="shared" si="77"/>
        <v>21805</v>
      </c>
      <c r="CK178" s="9">
        <f t="shared" si="77"/>
        <v>293927.13089390739</v>
      </c>
      <c r="CL178" s="9">
        <f t="shared" si="77"/>
        <v>78820</v>
      </c>
      <c r="CM178" s="9">
        <f t="shared" si="77"/>
        <v>92734.164828918409</v>
      </c>
    </row>
    <row r="179" spans="1:91">
      <c r="BJ179" s="252">
        <f>BI178/BJ178</f>
        <v>0.12406297563621436</v>
      </c>
      <c r="BR179" s="252">
        <f>BQ178/BR178</f>
        <v>8.9815907937311687E-2</v>
      </c>
    </row>
    <row r="180" spans="1:91">
      <c r="CK180" s="20">
        <f>SUM(CK4:CK46,CK48:CK91,CK93:CK99,CK101:CK110,CK112:CK120,CK122:CK134,CK137:CK144,CK146:CK149,CK151:CK152,CK154,CK158:CK161,CK168,CK170:CK171,CK174:CK176)</f>
        <v>288291.1843252799</v>
      </c>
    </row>
    <row r="181" spans="1:91" ht="45">
      <c r="C181" s="174" t="s">
        <v>580</v>
      </c>
      <c r="D181" s="175">
        <f>SUM('Front page'!E11)</f>
        <v>100</v>
      </c>
    </row>
    <row r="183" spans="1:91">
      <c r="BD183" s="9" t="s">
        <v>600</v>
      </c>
    </row>
    <row r="184" spans="1:91">
      <c r="BD184" s="9" t="s">
        <v>601</v>
      </c>
    </row>
  </sheetData>
  <sortState ref="A4:AU176">
    <sortCondition ref="A4:A176"/>
  </sortState>
  <mergeCells count="5">
    <mergeCell ref="BH2:BN2"/>
    <mergeCell ref="BP2:BS2"/>
    <mergeCell ref="E2:AW2"/>
    <mergeCell ref="AX2:BB2"/>
    <mergeCell ref="BD2:BF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8"/>
  <sheetViews>
    <sheetView zoomScale="160" zoomScaleNormal="160" workbookViewId="0">
      <pane xSplit="3" ySplit="1" topLeftCell="D160" activePane="bottomRight" state="frozen"/>
      <selection pane="topRight" activeCell="D1" sqref="D1"/>
      <selection pane="bottomLeft" activeCell="A2" sqref="A2"/>
      <selection pane="bottomRight" activeCell="C160" sqref="C160"/>
    </sheetView>
  </sheetViews>
  <sheetFormatPr defaultColWidth="8.85546875" defaultRowHeight="15"/>
  <cols>
    <col min="1" max="1" width="9.140625" bestFit="1" customWidth="1"/>
    <col min="2" max="2" width="9.42578125" bestFit="1" customWidth="1"/>
    <col min="3" max="3" width="47.7109375" customWidth="1"/>
    <col min="4" max="4" width="13.42578125" bestFit="1" customWidth="1"/>
    <col min="5" max="5" width="11.42578125" bestFit="1" customWidth="1"/>
    <col min="6" max="6" width="12.140625" bestFit="1" customWidth="1"/>
    <col min="7" max="7" width="14.42578125" bestFit="1" customWidth="1"/>
    <col min="8" max="8" width="15.42578125" bestFit="1" customWidth="1"/>
    <col min="9" max="9" width="15.42578125" customWidth="1"/>
    <col min="10" max="10" width="13.140625" style="36" hidden="1" customWidth="1"/>
    <col min="11" max="11" width="12.85546875" hidden="1" customWidth="1"/>
    <col min="12" max="12" width="13.140625" style="37" bestFit="1" customWidth="1"/>
    <col min="13" max="13" width="12.85546875" bestFit="1" customWidth="1"/>
    <col min="14" max="16" width="12.85546875" hidden="1" customWidth="1"/>
    <col min="17" max="22" width="12.85546875" customWidth="1"/>
    <col min="25" max="25" width="10.85546875" bestFit="1" customWidth="1"/>
    <col min="27" max="27" width="16.140625" bestFit="1" customWidth="1"/>
    <col min="28" max="28" width="18.42578125" bestFit="1" customWidth="1"/>
  </cols>
  <sheetData>
    <row r="1" spans="1:32" ht="60">
      <c r="A1" t="str">
        <f>'Student Enrollment Data'!A3</f>
        <v>District #1</v>
      </c>
      <c r="B1" t="str">
        <f>'Student Enrollment Data'!B3</f>
        <v>District # 2</v>
      </c>
      <c r="C1" t="str">
        <f>'Student Enrollment Data'!C3</f>
        <v>District Name 1</v>
      </c>
      <c r="D1" t="s">
        <v>290</v>
      </c>
      <c r="E1" t="s">
        <v>258</v>
      </c>
      <c r="F1" t="s">
        <v>259</v>
      </c>
      <c r="G1" t="s">
        <v>260</v>
      </c>
      <c r="H1" t="s">
        <v>261</v>
      </c>
      <c r="I1" t="s">
        <v>262</v>
      </c>
      <c r="J1" s="36" t="s">
        <v>267</v>
      </c>
      <c r="K1" t="s">
        <v>268</v>
      </c>
      <c r="L1" s="36" t="s">
        <v>271</v>
      </c>
      <c r="M1" t="s">
        <v>272</v>
      </c>
      <c r="N1" s="38" t="s">
        <v>276</v>
      </c>
      <c r="O1" s="38" t="s">
        <v>277</v>
      </c>
      <c r="P1" s="38" t="s">
        <v>278</v>
      </c>
      <c r="Q1" s="38" t="s">
        <v>279</v>
      </c>
      <c r="R1" s="38" t="s">
        <v>280</v>
      </c>
      <c r="S1" s="38" t="s">
        <v>281</v>
      </c>
      <c r="T1" s="38" t="s">
        <v>288</v>
      </c>
      <c r="U1" s="38" t="s">
        <v>289</v>
      </c>
      <c r="V1" s="38" t="s">
        <v>291</v>
      </c>
    </row>
    <row r="2" spans="1:32">
      <c r="A2" t="str">
        <f>'Student Enrollment Data'!A4</f>
        <v>001</v>
      </c>
      <c r="B2">
        <f>'Student Enrollment Data'!B4</f>
        <v>1</v>
      </c>
      <c r="C2" t="str">
        <f>'Student Enrollment Data'!C4</f>
        <v>Boise Independent School District # 001</v>
      </c>
      <c r="D2">
        <v>0</v>
      </c>
      <c r="E2" s="34">
        <f>IF(settings!$G$4=0,'Student Enrollment Data'!BA4,'Student Enrollment Data'!CN4)</f>
        <v>12099.578947368422</v>
      </c>
      <c r="F2" s="34">
        <f>IF(settings!$G$4=0,'Student Enrollment Data'!BB4,'Student Enrollment Data'!CO4)</f>
        <v>12453.15158622291</v>
      </c>
      <c r="G2" s="34">
        <f>IF(E2&lt;$X$5,1,0)</f>
        <v>0</v>
      </c>
      <c r="H2" s="34">
        <f>IF(F2&lt;$X$6,1,0)</f>
        <v>0</v>
      </c>
      <c r="I2" s="34">
        <f>IF(SUM(G2:H2)=2,1,0)</f>
        <v>0</v>
      </c>
      <c r="J2" s="36" t="str">
        <f>IF(E2&lt;=$AA$5,1+$Y$5,IF(G2=1,1+($Y$5-(E2*($Y$5/$X$5))),""))</f>
        <v/>
      </c>
      <c r="K2" s="36" t="str">
        <f>IF(F2&lt;=$AA$6,1+$Y$6,IF(H2=1,1+($Y$6-(F2*($Y$6/$X$6))),""))</f>
        <v/>
      </c>
      <c r="L2" s="36">
        <f>IF(E2&lt;=$AA$5,1+$Y$10,IF(AND(E2&gt;=$Z$10,E2&lt;$X$10),1-$AA$10+($AA$11-(E2*$AB$10)),IF(AND(E2&lt;$Z$11,E2&lt;$X$11),1+$AA$10+($AA$11-(E2*$AB$11)),0)))</f>
        <v>0</v>
      </c>
      <c r="M2" s="36">
        <f>IF(F2&lt;+$AA$6,1+$Y$12,IF(AND(F2&gt;=$Z$12,F2&lt;$X$12),1-$AA$12+($AA$13-(F2*$AB$12)),IF(AND(F2&lt;$Z$13,F2&lt;$X$13),1+$AA$12+($AA$13-(F2*$AB$13)),0)))</f>
        <v>0</v>
      </c>
      <c r="N2" s="36">
        <f>IF(G2=1,J2*E2,E2)</f>
        <v>12099.578947368422</v>
      </c>
      <c r="O2" s="36">
        <f>IF(H2=1,K2*F2,F2)</f>
        <v>12453.15158622291</v>
      </c>
      <c r="P2" s="36">
        <f>SUM(N2:O2)</f>
        <v>24552.730533591333</v>
      </c>
      <c r="Q2" s="36">
        <f>IF(G2=1,E2*L2,E2)</f>
        <v>12099.578947368422</v>
      </c>
      <c r="R2" s="36">
        <f>IF(H2=1,F2*M2,F2)</f>
        <v>12453.15158622291</v>
      </c>
      <c r="S2" s="37">
        <f>SUM(Q2:R2)</f>
        <v>24552.730533591333</v>
      </c>
      <c r="T2">
        <f>IF(D2=0,P2,E2+F2)</f>
        <v>24552.730533591333</v>
      </c>
      <c r="U2">
        <f>IF(D2=0,S2,E2+F2)</f>
        <v>24552.730533591333</v>
      </c>
      <c r="V2">
        <f>IF(AND(settings!$D$4=0,settings!$D$7=0),'Small Dist Weight'!P2,IF(AND(settings!$D$4=0,settings!$D$7=1),T2,IF(AND(settings!$D$4=1,settings!$D$7=0),S2,U2)))</f>
        <v>24552.730533591333</v>
      </c>
    </row>
    <row r="3" spans="1:32">
      <c r="A3" t="str">
        <f>'Student Enrollment Data'!A5</f>
        <v>002</v>
      </c>
      <c r="B3">
        <f>'Student Enrollment Data'!B5</f>
        <v>2</v>
      </c>
      <c r="C3" t="str">
        <f>'Student Enrollment Data'!C5</f>
        <v>West Ada Joint School District # 002</v>
      </c>
      <c r="D3">
        <v>0</v>
      </c>
      <c r="E3" s="34">
        <f>IF(settings!$G$4=0,'Student Enrollment Data'!BA5,'Student Enrollment Data'!CN5)</f>
        <v>19278.186274509804</v>
      </c>
      <c r="F3" s="34">
        <f>IF(settings!$G$4=0,'Student Enrollment Data'!BB5,'Student Enrollment Data'!CO5)</f>
        <v>18610.338235294119</v>
      </c>
      <c r="G3" s="34">
        <f t="shared" ref="G3:G66" si="0">IF(E3&lt;$X$5,1,0)</f>
        <v>0</v>
      </c>
      <c r="H3" s="34">
        <f t="shared" ref="H3:H66" si="1">IF(F3&lt;$X$6,1,0)</f>
        <v>0</v>
      </c>
      <c r="I3" s="34">
        <f t="shared" ref="I3:I66" si="2">IF(SUM(G3:H3)=2,1,0)</f>
        <v>0</v>
      </c>
      <c r="J3" s="36" t="str">
        <f t="shared" ref="J3:J66" si="3">IF(E3&lt;=$AA$5,1+$Y$5,IF(G3=1,1+($Y$5-(E3*($Y$5/$X$5))),""))</f>
        <v/>
      </c>
      <c r="K3" s="36" t="str">
        <f t="shared" ref="K3:K66" si="4">IF(F3&lt;=$AA$6,1+$Y$6,IF(H3=1,1+($Y$6-(F3*($Y$6/$X$6))),""))</f>
        <v/>
      </c>
      <c r="L3" s="36">
        <f t="shared" ref="L3:L66" si="5">IF(E3&lt;=$AA$5,1+$Y$10,IF(AND(E3&gt;=$Z$10,E3&lt;$X$10),1-$AA$10+($AA$11-(E3*$AB$10)),IF(AND(E3&lt;$Z$11,E3&lt;$X$11),1+$AA$10+($AA$11-(E3*$AB$11)),0)))</f>
        <v>0</v>
      </c>
      <c r="M3" s="36">
        <f t="shared" ref="M3:M66" si="6">IF(F3&lt;+$AA$6,1+$Y$12,IF(AND(F3&gt;=$Z$12,F3&lt;$X$12),1-$AA$12+($AA$13-(F3*$AB$12)),IF(AND(F3&lt;$Z$13,F3&lt;$X$13),1+$AA$12+($AA$13-(F3*$AB$13)),0)))</f>
        <v>0</v>
      </c>
      <c r="N3" s="36">
        <f t="shared" ref="N3:N66" si="7">IF(G3=1,J3*E3,E3)</f>
        <v>19278.186274509804</v>
      </c>
      <c r="O3" s="36">
        <f t="shared" ref="O3:O66" si="8">IF(H3=1,K3*F3,F3)</f>
        <v>18610.338235294119</v>
      </c>
      <c r="P3" s="36">
        <f t="shared" ref="P3:P66" si="9">SUM(N3:O3)</f>
        <v>37888.524509803923</v>
      </c>
      <c r="Q3" s="36">
        <f t="shared" ref="Q3:Q66" si="10">IF(G3=1,E3*L3,E3)</f>
        <v>19278.186274509804</v>
      </c>
      <c r="R3" s="36">
        <f t="shared" ref="R3:R66" si="11">IF(H3=1,F3*M3,F3)</f>
        <v>18610.338235294119</v>
      </c>
      <c r="S3" s="37">
        <f t="shared" ref="S3:S66" si="12">SUM(Q3:R3)</f>
        <v>37888.524509803923</v>
      </c>
      <c r="T3">
        <f t="shared" ref="T3:T66" si="13">IF(D3=0,P3,E3+F3)</f>
        <v>37888.524509803923</v>
      </c>
      <c r="U3">
        <f t="shared" ref="U3:U66" si="14">IF(D3=0,S3,E3+F3)</f>
        <v>37888.524509803923</v>
      </c>
      <c r="V3">
        <f>IF(AND(settings!$D$4=0,settings!$D$7=0),'Small Dist Weight'!P3,IF(AND(settings!$D$4=0,settings!$D$7=1),T3,IF(AND(settings!$D$4=1,settings!$D$7=0),S3,U3)))</f>
        <v>37888.524509803923</v>
      </c>
      <c r="Y3" t="s">
        <v>266</v>
      </c>
      <c r="AA3" s="365" t="s">
        <v>275</v>
      </c>
    </row>
    <row r="4" spans="1:32">
      <c r="A4" t="str">
        <f>'Student Enrollment Data'!A6</f>
        <v>003</v>
      </c>
      <c r="B4">
        <f>'Student Enrollment Data'!B6</f>
        <v>3</v>
      </c>
      <c r="C4" t="str">
        <f>'Student Enrollment Data'!C6</f>
        <v>Kuna Joint School District # 003</v>
      </c>
      <c r="D4">
        <v>0</v>
      </c>
      <c r="E4" s="34">
        <f>IF(settings!$G$4=0,'Student Enrollment Data'!BA6,'Student Enrollment Data'!CN6)</f>
        <v>2546</v>
      </c>
      <c r="F4" s="34">
        <f>IF(settings!$G$4=0,'Student Enrollment Data'!BB6,'Student Enrollment Data'!CO6)</f>
        <v>2615.4496078431371</v>
      </c>
      <c r="G4" s="34">
        <f t="shared" si="0"/>
        <v>0</v>
      </c>
      <c r="H4" s="34">
        <f t="shared" si="1"/>
        <v>0</v>
      </c>
      <c r="I4" s="34">
        <f t="shared" si="2"/>
        <v>0</v>
      </c>
      <c r="J4" s="36" t="str">
        <f t="shared" si="3"/>
        <v/>
      </c>
      <c r="K4" s="36" t="str">
        <f t="shared" si="4"/>
        <v/>
      </c>
      <c r="L4" s="36">
        <f t="shared" si="5"/>
        <v>0</v>
      </c>
      <c r="M4" s="36">
        <f t="shared" si="6"/>
        <v>0</v>
      </c>
      <c r="N4" s="36">
        <f t="shared" si="7"/>
        <v>2546</v>
      </c>
      <c r="O4" s="36">
        <f t="shared" si="8"/>
        <v>2615.4496078431371</v>
      </c>
      <c r="P4" s="36">
        <f t="shared" si="9"/>
        <v>5161.4496078431366</v>
      </c>
      <c r="Q4" s="36">
        <f t="shared" si="10"/>
        <v>2546</v>
      </c>
      <c r="R4" s="36">
        <f t="shared" si="11"/>
        <v>2615.4496078431371</v>
      </c>
      <c r="S4" s="37">
        <f t="shared" si="12"/>
        <v>5161.4496078431366</v>
      </c>
      <c r="T4">
        <f t="shared" si="13"/>
        <v>5161.4496078431366</v>
      </c>
      <c r="U4">
        <f t="shared" si="14"/>
        <v>5161.4496078431366</v>
      </c>
      <c r="V4">
        <f>IF(AND(settings!$D$4=0,settings!$D$7=0),'Small Dist Weight'!P4,IF(AND(settings!$D$4=0,settings!$D$7=1),T4,IF(AND(settings!$D$4=1,settings!$D$7=0),S4,U4)))</f>
        <v>5161.4496078431366</v>
      </c>
      <c r="Y4" t="s">
        <v>265</v>
      </c>
      <c r="AA4" s="365"/>
    </row>
    <row r="5" spans="1:32">
      <c r="A5" t="str">
        <f>'Student Enrollment Data'!A7</f>
        <v>011</v>
      </c>
      <c r="B5">
        <f>'Student Enrollment Data'!B7</f>
        <v>11</v>
      </c>
      <c r="C5" t="str">
        <f>'Student Enrollment Data'!C7</f>
        <v>Meadows Valley School District # 011</v>
      </c>
      <c r="D5">
        <v>0</v>
      </c>
      <c r="E5" s="34">
        <f>IF(settings!$G$4=0,'Student Enrollment Data'!BA7,'Student Enrollment Data'!CN7)</f>
        <v>77</v>
      </c>
      <c r="F5" s="34">
        <f>IF(settings!$G$4=0,'Student Enrollment Data'!BB7,'Student Enrollment Data'!CO7)</f>
        <v>100</v>
      </c>
      <c r="G5" s="34">
        <f t="shared" si="0"/>
        <v>1</v>
      </c>
      <c r="H5" s="34">
        <f t="shared" si="1"/>
        <v>1</v>
      </c>
      <c r="I5" s="34">
        <f t="shared" si="2"/>
        <v>1</v>
      </c>
      <c r="J5" s="36">
        <f t="shared" si="3"/>
        <v>1.8050000000000002</v>
      </c>
      <c r="K5" s="36">
        <f t="shared" si="4"/>
        <v>1.9293103448275861</v>
      </c>
      <c r="L5" s="36">
        <f t="shared" si="5"/>
        <v>1.6825000000000001</v>
      </c>
      <c r="M5" s="36">
        <f t="shared" si="6"/>
        <v>1.8689655172413793</v>
      </c>
      <c r="N5" s="36">
        <f t="shared" si="7"/>
        <v>138.98500000000001</v>
      </c>
      <c r="O5" s="36">
        <f t="shared" si="8"/>
        <v>192.93103448275861</v>
      </c>
      <c r="P5" s="36">
        <f t="shared" si="9"/>
        <v>331.91603448275862</v>
      </c>
      <c r="Q5" s="36">
        <f t="shared" si="10"/>
        <v>129.55250000000001</v>
      </c>
      <c r="R5" s="36">
        <f t="shared" si="11"/>
        <v>186.89655172413794</v>
      </c>
      <c r="S5" s="37">
        <f t="shared" si="12"/>
        <v>316.44905172413792</v>
      </c>
      <c r="T5">
        <f>IF(D5=0,P5,E5+F5)</f>
        <v>331.91603448275862</v>
      </c>
      <c r="U5">
        <f t="shared" si="14"/>
        <v>316.44905172413792</v>
      </c>
      <c r="V5">
        <f>IF(AND(settings!$D$4=0,settings!$D$7=0),'Small Dist Weight'!P5,IF(AND(settings!$D$4=0,settings!$D$7=1),T5,IF(AND(settings!$D$4=1,settings!$D$7=0),S5,U5)))</f>
        <v>316.44905172413792</v>
      </c>
      <c r="W5" s="27" t="s">
        <v>263</v>
      </c>
      <c r="X5" s="35">
        <f>'Front page'!E7</f>
        <v>330</v>
      </c>
      <c r="Y5">
        <v>1.05</v>
      </c>
      <c r="AA5" s="35">
        <v>30</v>
      </c>
      <c r="AE5">
        <v>1</v>
      </c>
      <c r="AF5">
        <f>AD9*$AB$11</f>
        <v>19.090909090909093</v>
      </c>
    </row>
    <row r="6" spans="1:32">
      <c r="A6" t="str">
        <f>'Student Enrollment Data'!A8</f>
        <v>013</v>
      </c>
      <c r="B6">
        <f>'Student Enrollment Data'!B8</f>
        <v>13</v>
      </c>
      <c r="C6" t="str">
        <f>'Student Enrollment Data'!C8</f>
        <v>Council School District # 013</v>
      </c>
      <c r="D6">
        <v>0</v>
      </c>
      <c r="E6" s="34">
        <f>IF(settings!$G$4=0,'Student Enrollment Data'!BA8,'Student Enrollment Data'!CN8)</f>
        <v>139</v>
      </c>
      <c r="F6" s="34">
        <f>MAX(100,settings!$G$4=0,'Student Enrollment Data'!BB8,'Student Enrollment Data'!CO8)</f>
        <v>133</v>
      </c>
      <c r="G6" s="34">
        <f t="shared" si="0"/>
        <v>1</v>
      </c>
      <c r="H6" s="34">
        <f t="shared" si="1"/>
        <v>1</v>
      </c>
      <c r="I6" s="34">
        <f t="shared" si="2"/>
        <v>1</v>
      </c>
      <c r="J6" s="36">
        <f t="shared" si="3"/>
        <v>1.6077272727272729</v>
      </c>
      <c r="K6" s="36">
        <f t="shared" si="4"/>
        <v>1.8894827586206897</v>
      </c>
      <c r="L6" s="36">
        <f t="shared" si="5"/>
        <v>1.3865909090909092</v>
      </c>
      <c r="M6" s="36">
        <f t="shared" si="6"/>
        <v>1.8092241379310345</v>
      </c>
      <c r="N6" s="36">
        <f t="shared" si="7"/>
        <v>223.47409090909093</v>
      </c>
      <c r="O6" s="36">
        <f t="shared" si="8"/>
        <v>251.30120689655172</v>
      </c>
      <c r="P6" s="36">
        <f t="shared" si="9"/>
        <v>474.77529780564265</v>
      </c>
      <c r="Q6" s="36">
        <f t="shared" si="10"/>
        <v>192.73613636363638</v>
      </c>
      <c r="R6" s="36">
        <f t="shared" si="11"/>
        <v>240.62681034482759</v>
      </c>
      <c r="S6" s="37">
        <f t="shared" si="12"/>
        <v>433.36294670846394</v>
      </c>
      <c r="T6">
        <f t="shared" si="13"/>
        <v>474.77529780564265</v>
      </c>
      <c r="U6">
        <f t="shared" si="14"/>
        <v>433.36294670846394</v>
      </c>
      <c r="V6">
        <f>IF(AND(settings!$D$4=0,settings!$D$7=0),'Small Dist Weight'!P6,IF(AND(settings!$D$4=0,settings!$D$7=1),T6,IF(AND(settings!$D$4=1,settings!$D$7=0),S6,U6)))</f>
        <v>433.36294670846394</v>
      </c>
      <c r="W6" s="27" t="s">
        <v>264</v>
      </c>
      <c r="X6" s="35">
        <f>'Front page'!E8</f>
        <v>870</v>
      </c>
      <c r="Y6">
        <v>1.05</v>
      </c>
      <c r="AA6" s="35">
        <v>30</v>
      </c>
      <c r="AE6">
        <v>2</v>
      </c>
      <c r="AF6">
        <f>AD9*AB$11</f>
        <v>19.090909090909093</v>
      </c>
    </row>
    <row r="7" spans="1:32">
      <c r="A7" t="str">
        <f>'Student Enrollment Data'!A9</f>
        <v>021</v>
      </c>
      <c r="B7">
        <f>'Student Enrollment Data'!B9</f>
        <v>21</v>
      </c>
      <c r="C7" t="str">
        <f>'Student Enrollment Data'!C9</f>
        <v>Marsh Valley Joint School District # 021</v>
      </c>
      <c r="D7">
        <v>0</v>
      </c>
      <c r="E7" s="34">
        <f>IF(settings!$G$4=0,'Student Enrollment Data'!BA9,'Student Enrollment Data'!CN9)</f>
        <v>601</v>
      </c>
      <c r="F7" s="34">
        <f>IF(settings!$G$4=0,'Student Enrollment Data'!BB9,'Student Enrollment Data'!CO9)</f>
        <v>628</v>
      </c>
      <c r="G7" s="34">
        <f t="shared" si="0"/>
        <v>0</v>
      </c>
      <c r="H7" s="34">
        <f t="shared" si="1"/>
        <v>1</v>
      </c>
      <c r="I7" s="34">
        <f t="shared" si="2"/>
        <v>0</v>
      </c>
      <c r="J7" s="36" t="str">
        <f t="shared" si="3"/>
        <v/>
      </c>
      <c r="K7" s="36">
        <f t="shared" si="4"/>
        <v>1.2920689655172413</v>
      </c>
      <c r="L7" s="36">
        <f t="shared" si="5"/>
        <v>0</v>
      </c>
      <c r="M7" s="36">
        <f t="shared" si="6"/>
        <v>1.1460344827586209</v>
      </c>
      <c r="N7" s="36">
        <f t="shared" si="7"/>
        <v>601</v>
      </c>
      <c r="O7" s="36">
        <f t="shared" si="8"/>
        <v>811.41931034482752</v>
      </c>
      <c r="P7" s="36">
        <f t="shared" si="9"/>
        <v>1412.4193103448274</v>
      </c>
      <c r="Q7" s="36">
        <f t="shared" si="10"/>
        <v>601</v>
      </c>
      <c r="R7" s="36">
        <f t="shared" si="11"/>
        <v>719.70965517241393</v>
      </c>
      <c r="S7" s="37">
        <f t="shared" si="12"/>
        <v>1320.7096551724139</v>
      </c>
      <c r="T7">
        <f t="shared" si="13"/>
        <v>1412.4193103448274</v>
      </c>
      <c r="U7">
        <f t="shared" si="14"/>
        <v>1320.7096551724139</v>
      </c>
      <c r="V7">
        <f>IF(AND(settings!$D$4=0,settings!$D$7=0),'Small Dist Weight'!P7,IF(AND(settings!$D$4=0,settings!$D$7=1),T7,IF(AND(settings!$D$4=1,settings!$D$7=0),S7,U7)))</f>
        <v>1320.7096551724139</v>
      </c>
      <c r="AE7">
        <v>3</v>
      </c>
      <c r="AF7">
        <f>AB10*AD9</f>
        <v>6.3636363636363642</v>
      </c>
    </row>
    <row r="8" spans="1:32">
      <c r="A8" t="str">
        <f>'Student Enrollment Data'!A10</f>
        <v>025</v>
      </c>
      <c r="B8">
        <f>'Student Enrollment Data'!B10</f>
        <v>25</v>
      </c>
      <c r="C8" t="str">
        <f>'Student Enrollment Data'!C10</f>
        <v>Pocatello School District # 025</v>
      </c>
      <c r="D8">
        <v>0</v>
      </c>
      <c r="E8" s="34">
        <f>IF(settings!$G$4=0,'Student Enrollment Data'!BA10,'Student Enrollment Data'!CN10)</f>
        <v>6061.1765795206975</v>
      </c>
      <c r="F8" s="34">
        <f>IF(settings!$G$4=0,'Student Enrollment Data'!BB10,'Student Enrollment Data'!CO10)</f>
        <v>6006.4798474945537</v>
      </c>
      <c r="G8" s="34">
        <f t="shared" si="0"/>
        <v>0</v>
      </c>
      <c r="H8" s="34">
        <f t="shared" si="1"/>
        <v>0</v>
      </c>
      <c r="I8" s="34">
        <f t="shared" si="2"/>
        <v>0</v>
      </c>
      <c r="J8" s="36" t="str">
        <f t="shared" si="3"/>
        <v/>
      </c>
      <c r="K8" s="36" t="str">
        <f t="shared" si="4"/>
        <v/>
      </c>
      <c r="L8" s="36">
        <f t="shared" si="5"/>
        <v>0</v>
      </c>
      <c r="M8" s="36">
        <f t="shared" si="6"/>
        <v>0</v>
      </c>
      <c r="N8" s="36">
        <f t="shared" si="7"/>
        <v>6061.1765795206975</v>
      </c>
      <c r="O8" s="36">
        <f t="shared" si="8"/>
        <v>6006.4798474945537</v>
      </c>
      <c r="P8" s="36">
        <f t="shared" si="9"/>
        <v>12067.656427015252</v>
      </c>
      <c r="Q8" s="36">
        <f t="shared" si="10"/>
        <v>6061.1765795206975</v>
      </c>
      <c r="R8" s="36">
        <f t="shared" si="11"/>
        <v>6006.4798474945537</v>
      </c>
      <c r="S8" s="37">
        <f t="shared" si="12"/>
        <v>12067.656427015252</v>
      </c>
      <c r="T8">
        <f t="shared" si="13"/>
        <v>12067.656427015252</v>
      </c>
      <c r="U8">
        <f t="shared" si="14"/>
        <v>12067.656427015252</v>
      </c>
      <c r="V8">
        <f>IF(AND(settings!$D$4=0,settings!$D$7=0),'Small Dist Weight'!P8,IF(AND(settings!$D$4=0,settings!$D$7=1),T8,IF(AND(settings!$D$4=1,settings!$D$7=0),S8,U8)))</f>
        <v>12067.656427015252</v>
      </c>
      <c r="Y8" t="s">
        <v>269</v>
      </c>
      <c r="AE8">
        <v>4</v>
      </c>
      <c r="AF8">
        <f>AB10*AD9</f>
        <v>6.3636363636363642</v>
      </c>
    </row>
    <row r="9" spans="1:32">
      <c r="A9" t="str">
        <f>'Student Enrollment Data'!A11</f>
        <v>033</v>
      </c>
      <c r="B9">
        <f>'Student Enrollment Data'!B11</f>
        <v>33</v>
      </c>
      <c r="C9" t="str">
        <f>'Student Enrollment Data'!C11</f>
        <v>Bear Lake County School District # 033</v>
      </c>
      <c r="D9">
        <v>0</v>
      </c>
      <c r="E9" s="34">
        <f>IF(settings!$G$4=0,'Student Enrollment Data'!BA11,'Student Enrollment Data'!CN11)</f>
        <v>623.5</v>
      </c>
      <c r="F9" s="34">
        <f>IF(settings!$G$4=0,'Student Enrollment Data'!BB11,'Student Enrollment Data'!CO11)</f>
        <v>504</v>
      </c>
      <c r="G9" s="34">
        <f t="shared" si="0"/>
        <v>0</v>
      </c>
      <c r="H9" s="34">
        <f t="shared" si="1"/>
        <v>1</v>
      </c>
      <c r="I9" s="34">
        <f t="shared" si="2"/>
        <v>0</v>
      </c>
      <c r="J9" s="36" t="str">
        <f t="shared" si="3"/>
        <v/>
      </c>
      <c r="K9" s="36">
        <f t="shared" si="4"/>
        <v>1.4417241379310344</v>
      </c>
      <c r="L9" s="36">
        <f t="shared" si="5"/>
        <v>0</v>
      </c>
      <c r="M9" s="36">
        <f t="shared" si="6"/>
        <v>1.2208620689655174</v>
      </c>
      <c r="N9" s="36">
        <f t="shared" si="7"/>
        <v>623.5</v>
      </c>
      <c r="O9" s="36">
        <f t="shared" si="8"/>
        <v>726.62896551724134</v>
      </c>
      <c r="P9" s="36">
        <f t="shared" si="9"/>
        <v>1350.1289655172413</v>
      </c>
      <c r="Q9" s="36">
        <f t="shared" si="10"/>
        <v>623.5</v>
      </c>
      <c r="R9" s="36">
        <f t="shared" si="11"/>
        <v>615.31448275862078</v>
      </c>
      <c r="S9" s="37">
        <f t="shared" si="12"/>
        <v>1238.8144827586207</v>
      </c>
      <c r="T9">
        <f t="shared" si="13"/>
        <v>1350.1289655172413</v>
      </c>
      <c r="U9">
        <f t="shared" si="14"/>
        <v>1238.8144827586207</v>
      </c>
      <c r="V9">
        <f>IF(AND(settings!$D$4=0,settings!$D$7=0),'Small Dist Weight'!P9,IF(AND(settings!$D$4=0,settings!$D$7=1),T9,IF(AND(settings!$D$4=1,settings!$D$7=0),S9,U9)))</f>
        <v>1238.8144827586207</v>
      </c>
      <c r="Y9" t="s">
        <v>265</v>
      </c>
      <c r="Z9" t="s">
        <v>270</v>
      </c>
      <c r="AA9" t="s">
        <v>273</v>
      </c>
      <c r="AB9" t="s">
        <v>274</v>
      </c>
      <c r="AD9">
        <v>4000</v>
      </c>
    </row>
    <row r="10" spans="1:32">
      <c r="A10" t="str">
        <f>'Student Enrollment Data'!A12</f>
        <v>041</v>
      </c>
      <c r="B10">
        <f>'Student Enrollment Data'!B12</f>
        <v>41</v>
      </c>
      <c r="C10" t="str">
        <f>'Student Enrollment Data'!C12</f>
        <v>St. Maries Joint School District # 041</v>
      </c>
      <c r="D10">
        <v>0</v>
      </c>
      <c r="E10" s="34">
        <f>IF(settings!$G$4=0,'Student Enrollment Data'!BA12,'Student Enrollment Data'!CN12)</f>
        <v>490</v>
      </c>
      <c r="F10" s="34">
        <f>IF(settings!$G$4=0,'Student Enrollment Data'!BB12,'Student Enrollment Data'!CO12)</f>
        <v>450</v>
      </c>
      <c r="G10" s="34">
        <f t="shared" si="0"/>
        <v>0</v>
      </c>
      <c r="H10" s="34">
        <f t="shared" si="1"/>
        <v>1</v>
      </c>
      <c r="I10" s="34">
        <f t="shared" si="2"/>
        <v>0</v>
      </c>
      <c r="J10" s="36" t="str">
        <f t="shared" si="3"/>
        <v/>
      </c>
      <c r="K10" s="36">
        <f t="shared" si="4"/>
        <v>1.5068965517241379</v>
      </c>
      <c r="L10" s="36">
        <f t="shared" si="5"/>
        <v>0</v>
      </c>
      <c r="M10" s="36">
        <f t="shared" si="6"/>
        <v>1.2534482758620691</v>
      </c>
      <c r="N10" s="36">
        <f t="shared" si="7"/>
        <v>490</v>
      </c>
      <c r="O10" s="36">
        <f t="shared" si="8"/>
        <v>678.10344827586209</v>
      </c>
      <c r="P10" s="36">
        <f t="shared" si="9"/>
        <v>1168.1034482758621</v>
      </c>
      <c r="Q10" s="36">
        <f t="shared" si="10"/>
        <v>490</v>
      </c>
      <c r="R10" s="36">
        <f t="shared" si="11"/>
        <v>564.05172413793105</v>
      </c>
      <c r="S10" s="37">
        <f t="shared" si="12"/>
        <v>1054.0517241379312</v>
      </c>
      <c r="T10">
        <f t="shared" si="13"/>
        <v>1168.1034482758621</v>
      </c>
      <c r="U10">
        <f t="shared" si="14"/>
        <v>1054.0517241379312</v>
      </c>
      <c r="V10">
        <f>IF(AND(settings!$D$4=0,settings!$D$7=0),'Small Dist Weight'!P10,IF(AND(settings!$D$4=0,settings!$D$7=1),T10,IF(AND(settings!$D$4=1,settings!$D$7=0),S10,U10)))</f>
        <v>1054.0517241379312</v>
      </c>
      <c r="W10" s="27" t="s">
        <v>263</v>
      </c>
      <c r="X10">
        <f>X5</f>
        <v>330</v>
      </c>
      <c r="Y10">
        <v>1.05</v>
      </c>
      <c r="Z10">
        <f>X10/2</f>
        <v>165</v>
      </c>
      <c r="AA10">
        <f>Y10*0.25</f>
        <v>0.26250000000000001</v>
      </c>
      <c r="AB10" s="133">
        <f>AA10/Z10</f>
        <v>1.590909090909091E-3</v>
      </c>
    </row>
    <row r="11" spans="1:32" s="27" customFormat="1">
      <c r="A11" s="27" t="str">
        <f>'Student Enrollment Data'!A13</f>
        <v>044</v>
      </c>
      <c r="B11" s="27">
        <f>'Student Enrollment Data'!B13</f>
        <v>44</v>
      </c>
      <c r="C11" s="27" t="str">
        <f>'Student Enrollment Data'!C13</f>
        <v>Plummer / Worley Joint School District # 044</v>
      </c>
      <c r="D11" s="27">
        <v>0</v>
      </c>
      <c r="E11" s="134">
        <f>IF(settings!$G$4=0,'Student Enrollment Data'!BA13,'Student Enrollment Data'!CN13)</f>
        <v>169.5</v>
      </c>
      <c r="F11" s="134">
        <f>IF(settings!$G$4=0,'Student Enrollment Data'!BB13,'Student Enrollment Data'!CO13)</f>
        <v>171</v>
      </c>
      <c r="G11" s="134">
        <f t="shared" si="0"/>
        <v>1</v>
      </c>
      <c r="H11" s="134">
        <f t="shared" si="1"/>
        <v>1</v>
      </c>
      <c r="I11" s="134">
        <f t="shared" si="2"/>
        <v>1</v>
      </c>
      <c r="J11" s="135">
        <f t="shared" si="3"/>
        <v>1.5106818181818182</v>
      </c>
      <c r="K11" s="135">
        <f t="shared" si="4"/>
        <v>1.8436206896551726</v>
      </c>
      <c r="L11" s="135">
        <f>IF(E11&lt;=$AA$5,1+$Y$10,IF(AND(E11&gt;=$Z$10,E11&lt;$X$10),1-$AA$10+($AA$11-(E11*$AB$10)),IF(AND(E11&lt;$Z$11,E11&lt;$X$11),1+$AA$10+($AA$11-(E11*$AB$11)),0)))</f>
        <v>1.2553409090909091</v>
      </c>
      <c r="M11" s="135">
        <f t="shared" si="6"/>
        <v>1.7404310344827587</v>
      </c>
      <c r="N11" s="135">
        <f t="shared" si="7"/>
        <v>256.06056818181821</v>
      </c>
      <c r="O11" s="135">
        <f t="shared" si="8"/>
        <v>315.2591379310345</v>
      </c>
      <c r="P11" s="135">
        <f t="shared" si="9"/>
        <v>571.31970611285271</v>
      </c>
      <c r="Q11" s="135">
        <f>IF(G11=1,E11*L11,E11)</f>
        <v>212.78028409090911</v>
      </c>
      <c r="R11" s="135">
        <f t="shared" si="11"/>
        <v>297.61370689655172</v>
      </c>
      <c r="S11" s="136">
        <f t="shared" si="12"/>
        <v>510.39399098746082</v>
      </c>
      <c r="T11" s="27">
        <f t="shared" si="13"/>
        <v>571.31970611285271</v>
      </c>
      <c r="U11" s="27">
        <f t="shared" si="14"/>
        <v>510.39399098746082</v>
      </c>
      <c r="V11" s="27">
        <f>IF(AND(settings!$D$4=0,settings!$D$7=0),'Small Dist Weight'!P11,IF(AND(settings!$D$4=0,settings!$D$7=1),T11,IF(AND(settings!$D$4=1,settings!$D$7=0),S11,U11)))</f>
        <v>510.39399098746082</v>
      </c>
      <c r="X11" s="27">
        <f>X5</f>
        <v>330</v>
      </c>
      <c r="Y11" s="27">
        <v>1.05</v>
      </c>
      <c r="Z11" s="27">
        <f>X11/2</f>
        <v>165</v>
      </c>
      <c r="AA11" s="27">
        <f>Y11*0.75</f>
        <v>0.78750000000000009</v>
      </c>
      <c r="AB11" s="137">
        <f>AA11/Z11</f>
        <v>4.7727272727272731E-3</v>
      </c>
      <c r="AF11" s="27">
        <f>10*AB11</f>
        <v>4.7727272727272729E-2</v>
      </c>
    </row>
    <row r="12" spans="1:32">
      <c r="A12" t="str">
        <f>'Student Enrollment Data'!A14</f>
        <v>052</v>
      </c>
      <c r="B12">
        <f>'Student Enrollment Data'!B14</f>
        <v>52</v>
      </c>
      <c r="C12" t="str">
        <f>'Student Enrollment Data'!C14</f>
        <v>Snake River School District # 052</v>
      </c>
      <c r="D12">
        <v>0</v>
      </c>
      <c r="E12" s="34">
        <f>IF(settings!$G$4=0,'Student Enrollment Data'!BA14,'Student Enrollment Data'!CN14)</f>
        <v>868.5</v>
      </c>
      <c r="F12" s="34">
        <f>IF(settings!$G$4=0,'Student Enrollment Data'!BB14,'Student Enrollment Data'!CO14)</f>
        <v>837</v>
      </c>
      <c r="G12" s="34">
        <f t="shared" si="0"/>
        <v>0</v>
      </c>
      <c r="H12" s="34">
        <f t="shared" si="1"/>
        <v>1</v>
      </c>
      <c r="I12" s="34">
        <f t="shared" si="2"/>
        <v>0</v>
      </c>
      <c r="J12" s="36" t="str">
        <f t="shared" si="3"/>
        <v/>
      </c>
      <c r="K12" s="36">
        <f t="shared" si="4"/>
        <v>1.0398275862068966</v>
      </c>
      <c r="L12" s="36">
        <f t="shared" si="5"/>
        <v>0</v>
      </c>
      <c r="M12" s="36">
        <f t="shared" si="6"/>
        <v>1.0199137931034485</v>
      </c>
      <c r="N12" s="36">
        <f t="shared" si="7"/>
        <v>868.5</v>
      </c>
      <c r="O12" s="36">
        <f t="shared" si="8"/>
        <v>870.33568965517247</v>
      </c>
      <c r="P12" s="36">
        <f t="shared" si="9"/>
        <v>1738.8356896551725</v>
      </c>
      <c r="Q12" s="36">
        <f t="shared" si="10"/>
        <v>868.5</v>
      </c>
      <c r="R12" s="36">
        <f t="shared" si="11"/>
        <v>853.66784482758646</v>
      </c>
      <c r="S12" s="37">
        <f t="shared" si="12"/>
        <v>1722.1678448275866</v>
      </c>
      <c r="T12">
        <f t="shared" si="13"/>
        <v>1738.8356896551725</v>
      </c>
      <c r="U12">
        <f t="shared" si="14"/>
        <v>1722.1678448275866</v>
      </c>
      <c r="V12">
        <f>IF(AND(settings!$D$4=0,settings!$D$7=0),'Small Dist Weight'!P12,IF(AND(settings!$D$4=0,settings!$D$7=1),T12,IF(AND(settings!$D$4=1,settings!$D$7=0),S12,U12)))</f>
        <v>1722.1678448275866</v>
      </c>
      <c r="W12" s="27" t="s">
        <v>264</v>
      </c>
      <c r="X12">
        <f>X6</f>
        <v>870</v>
      </c>
      <c r="Y12">
        <v>1.05</v>
      </c>
      <c r="Z12">
        <f>X12/2</f>
        <v>435</v>
      </c>
      <c r="AA12">
        <f>Y12*0.25</f>
        <v>0.26250000000000001</v>
      </c>
      <c r="AB12">
        <f>AA12/Z12</f>
        <v>6.03448275862069E-4</v>
      </c>
    </row>
    <row r="13" spans="1:32">
      <c r="A13" t="str">
        <f>'Student Enrollment Data'!A15</f>
        <v>055</v>
      </c>
      <c r="B13">
        <f>'Student Enrollment Data'!B15</f>
        <v>55</v>
      </c>
      <c r="C13" t="str">
        <f>'Student Enrollment Data'!C15</f>
        <v>Blackfoot School District # 055</v>
      </c>
      <c r="D13">
        <v>0</v>
      </c>
      <c r="E13" s="34">
        <f>IF(settings!$G$4=0,'Student Enrollment Data'!BA15,'Student Enrollment Data'!CN15)</f>
        <v>1784.5</v>
      </c>
      <c r="F13" s="34">
        <f>IF(settings!$G$4=0,'Student Enrollment Data'!BB15,'Student Enrollment Data'!CO15)</f>
        <v>1876.304475490196</v>
      </c>
      <c r="G13" s="34">
        <f t="shared" si="0"/>
        <v>0</v>
      </c>
      <c r="H13" s="34">
        <f t="shared" si="1"/>
        <v>0</v>
      </c>
      <c r="I13" s="34">
        <f t="shared" si="2"/>
        <v>0</v>
      </c>
      <c r="J13" s="36" t="str">
        <f t="shared" si="3"/>
        <v/>
      </c>
      <c r="K13" s="36" t="str">
        <f t="shared" si="4"/>
        <v/>
      </c>
      <c r="L13" s="36">
        <f t="shared" si="5"/>
        <v>0</v>
      </c>
      <c r="M13" s="36">
        <f t="shared" si="6"/>
        <v>0</v>
      </c>
      <c r="N13" s="36">
        <f t="shared" si="7"/>
        <v>1784.5</v>
      </c>
      <c r="O13" s="36">
        <f t="shared" si="8"/>
        <v>1876.304475490196</v>
      </c>
      <c r="P13" s="36">
        <f t="shared" si="9"/>
        <v>3660.8044754901957</v>
      </c>
      <c r="Q13" s="36">
        <f t="shared" si="10"/>
        <v>1784.5</v>
      </c>
      <c r="R13" s="36">
        <f t="shared" si="11"/>
        <v>1876.304475490196</v>
      </c>
      <c r="S13" s="37">
        <f t="shared" si="12"/>
        <v>3660.8044754901957</v>
      </c>
      <c r="T13">
        <f t="shared" si="13"/>
        <v>3660.8044754901957</v>
      </c>
      <c r="U13">
        <f t="shared" si="14"/>
        <v>3660.8044754901957</v>
      </c>
      <c r="V13">
        <f>IF(AND(settings!$D$4=0,settings!$D$7=0),'Small Dist Weight'!P13,IF(AND(settings!$D$4=0,settings!$D$7=1),T13,IF(AND(settings!$D$4=1,settings!$D$7=0),S13,U13)))</f>
        <v>3660.8044754901957</v>
      </c>
      <c r="X13">
        <f>X6</f>
        <v>870</v>
      </c>
      <c r="Y13">
        <v>1.05</v>
      </c>
      <c r="Z13">
        <f>X13/2</f>
        <v>435</v>
      </c>
      <c r="AA13">
        <f>Y13*0.75</f>
        <v>0.78750000000000009</v>
      </c>
      <c r="AB13">
        <f>AA13/Z13</f>
        <v>1.810344827586207E-3</v>
      </c>
    </row>
    <row r="14" spans="1:32">
      <c r="A14" t="str">
        <f>'Student Enrollment Data'!A16</f>
        <v>058</v>
      </c>
      <c r="B14">
        <f>'Student Enrollment Data'!B16</f>
        <v>58</v>
      </c>
      <c r="C14" t="str">
        <f>'Student Enrollment Data'!C16</f>
        <v>Aberdeen School District # 058</v>
      </c>
      <c r="D14">
        <v>0</v>
      </c>
      <c r="E14" s="34">
        <f>IF(settings!$G$4=0,'Student Enrollment Data'!BA16,'Student Enrollment Data'!CN16)</f>
        <v>367</v>
      </c>
      <c r="F14" s="34">
        <f>IF(settings!$G$4=0,'Student Enrollment Data'!BB16,'Student Enrollment Data'!CO16)</f>
        <v>335</v>
      </c>
      <c r="G14" s="34">
        <f t="shared" si="0"/>
        <v>0</v>
      </c>
      <c r="H14" s="34">
        <f t="shared" si="1"/>
        <v>1</v>
      </c>
      <c r="I14" s="34">
        <f t="shared" si="2"/>
        <v>0</v>
      </c>
      <c r="J14" s="36" t="str">
        <f t="shared" si="3"/>
        <v/>
      </c>
      <c r="K14" s="36">
        <f t="shared" si="4"/>
        <v>1.6456896551724138</v>
      </c>
      <c r="L14" s="36">
        <f t="shared" si="5"/>
        <v>0</v>
      </c>
      <c r="M14" s="36">
        <f t="shared" si="6"/>
        <v>1.4435344827586207</v>
      </c>
      <c r="N14" s="36">
        <f t="shared" si="7"/>
        <v>367</v>
      </c>
      <c r="O14" s="36">
        <f t="shared" si="8"/>
        <v>551.30603448275861</v>
      </c>
      <c r="P14" s="36">
        <f t="shared" si="9"/>
        <v>918.30603448275861</v>
      </c>
      <c r="Q14" s="36">
        <f t="shared" si="10"/>
        <v>367</v>
      </c>
      <c r="R14" s="36">
        <f t="shared" si="11"/>
        <v>483.58405172413796</v>
      </c>
      <c r="S14" s="37">
        <f t="shared" si="12"/>
        <v>850.58405172413791</v>
      </c>
      <c r="T14">
        <f t="shared" si="13"/>
        <v>918.30603448275861</v>
      </c>
      <c r="U14">
        <f t="shared" si="14"/>
        <v>850.58405172413791</v>
      </c>
      <c r="V14">
        <f>IF(AND(settings!$D$4=0,settings!$D$7=0),'Small Dist Weight'!P14,IF(AND(settings!$D$4=0,settings!$D$7=1),T14,IF(AND(settings!$D$4=1,settings!$D$7=0),S14,U14)))</f>
        <v>850.58405172413791</v>
      </c>
    </row>
    <row r="15" spans="1:32">
      <c r="A15" t="str">
        <f>'Student Enrollment Data'!A17</f>
        <v>059</v>
      </c>
      <c r="B15">
        <f>'Student Enrollment Data'!B17</f>
        <v>59</v>
      </c>
      <c r="C15" t="str">
        <f>'Student Enrollment Data'!C17</f>
        <v>Firth School District # 059</v>
      </c>
      <c r="D15">
        <v>0</v>
      </c>
      <c r="E15" s="34">
        <f>IF(settings!$G$4=0,'Student Enrollment Data'!BA17,'Student Enrollment Data'!CN17)</f>
        <v>421</v>
      </c>
      <c r="F15" s="34">
        <f>IF(settings!$G$4=0,'Student Enrollment Data'!BB17,'Student Enrollment Data'!CO17)</f>
        <v>390</v>
      </c>
      <c r="G15" s="34">
        <f t="shared" si="0"/>
        <v>0</v>
      </c>
      <c r="H15" s="34">
        <f t="shared" si="1"/>
        <v>1</v>
      </c>
      <c r="I15" s="34">
        <f t="shared" si="2"/>
        <v>0</v>
      </c>
      <c r="J15" s="36" t="str">
        <f t="shared" si="3"/>
        <v/>
      </c>
      <c r="K15" s="36">
        <f t="shared" si="4"/>
        <v>1.5793103448275863</v>
      </c>
      <c r="L15" s="36">
        <f t="shared" si="5"/>
        <v>0</v>
      </c>
      <c r="M15" s="36">
        <f t="shared" si="6"/>
        <v>1.3439655172413794</v>
      </c>
      <c r="N15" s="36">
        <f t="shared" si="7"/>
        <v>421</v>
      </c>
      <c r="O15" s="36">
        <f t="shared" si="8"/>
        <v>615.93103448275861</v>
      </c>
      <c r="P15" s="36">
        <f t="shared" si="9"/>
        <v>1036.9310344827586</v>
      </c>
      <c r="Q15" s="36">
        <f t="shared" si="10"/>
        <v>421</v>
      </c>
      <c r="R15" s="36">
        <f t="shared" si="11"/>
        <v>524.14655172413791</v>
      </c>
      <c r="S15" s="37">
        <f t="shared" si="12"/>
        <v>945.14655172413791</v>
      </c>
      <c r="T15">
        <f t="shared" si="13"/>
        <v>1036.9310344827586</v>
      </c>
      <c r="U15">
        <f t="shared" si="14"/>
        <v>945.14655172413791</v>
      </c>
      <c r="V15">
        <f>IF(AND(settings!$D$4=0,settings!$D$7=0),'Small Dist Weight'!P15,IF(AND(settings!$D$4=0,settings!$D$7=1),T15,IF(AND(settings!$D$4=1,settings!$D$7=0),S15,U15)))</f>
        <v>945.14655172413791</v>
      </c>
    </row>
    <row r="16" spans="1:32">
      <c r="A16" t="str">
        <f>'Student Enrollment Data'!A18</f>
        <v>060</v>
      </c>
      <c r="B16">
        <f>'Student Enrollment Data'!B18</f>
        <v>60</v>
      </c>
      <c r="C16" t="str">
        <f>'Student Enrollment Data'!C18</f>
        <v>Shelley Joint School District # 060</v>
      </c>
      <c r="D16">
        <v>0</v>
      </c>
      <c r="E16" s="34">
        <f>IF(settings!$G$4=0,'Student Enrollment Data'!BA18,'Student Enrollment Data'!CN18)</f>
        <v>1220</v>
      </c>
      <c r="F16" s="34">
        <f>IF(settings!$G$4=0,'Student Enrollment Data'!BB18,'Student Enrollment Data'!CO18)</f>
        <v>1021</v>
      </c>
      <c r="G16" s="34">
        <f t="shared" si="0"/>
        <v>0</v>
      </c>
      <c r="H16" s="34">
        <f t="shared" si="1"/>
        <v>0</v>
      </c>
      <c r="I16" s="34">
        <f t="shared" si="2"/>
        <v>0</v>
      </c>
      <c r="J16" s="36" t="str">
        <f t="shared" si="3"/>
        <v/>
      </c>
      <c r="K16" s="36" t="str">
        <f t="shared" si="4"/>
        <v/>
      </c>
      <c r="L16" s="36">
        <f t="shared" si="5"/>
        <v>0</v>
      </c>
      <c r="M16" s="36">
        <f t="shared" si="6"/>
        <v>0</v>
      </c>
      <c r="N16" s="36">
        <f t="shared" si="7"/>
        <v>1220</v>
      </c>
      <c r="O16" s="36">
        <f t="shared" si="8"/>
        <v>1021</v>
      </c>
      <c r="P16" s="36">
        <f t="shared" si="9"/>
        <v>2241</v>
      </c>
      <c r="Q16" s="36">
        <f t="shared" si="10"/>
        <v>1220</v>
      </c>
      <c r="R16" s="36">
        <f t="shared" si="11"/>
        <v>1021</v>
      </c>
      <c r="S16" s="37">
        <f t="shared" si="12"/>
        <v>2241</v>
      </c>
      <c r="T16">
        <f t="shared" si="13"/>
        <v>2241</v>
      </c>
      <c r="U16">
        <f t="shared" si="14"/>
        <v>2241</v>
      </c>
      <c r="V16">
        <f>IF(AND(settings!$D$4=0,settings!$D$7=0),'Small Dist Weight'!P16,IF(AND(settings!$D$4=0,settings!$D$7=1),T16,IF(AND(settings!$D$4=1,settings!$D$7=0),S16,U16)))</f>
        <v>2241</v>
      </c>
    </row>
    <row r="17" spans="1:29">
      <c r="A17" t="str">
        <f>'Student Enrollment Data'!A19</f>
        <v>061</v>
      </c>
      <c r="B17">
        <f>'Student Enrollment Data'!B19</f>
        <v>61</v>
      </c>
      <c r="C17" t="str">
        <f>'Student Enrollment Data'!C19</f>
        <v>Blaine County School District # 061</v>
      </c>
      <c r="D17">
        <v>0</v>
      </c>
      <c r="E17" s="34">
        <f>IF(settings!$G$4=0,'Student Enrollment Data'!BA19,'Student Enrollment Data'!CN19)</f>
        <v>1597.5</v>
      </c>
      <c r="F17" s="34">
        <f>IF(settings!$G$4=0,'Student Enrollment Data'!BB19,'Student Enrollment Data'!CO19)</f>
        <v>1661</v>
      </c>
      <c r="G17" s="34">
        <f t="shared" si="0"/>
        <v>0</v>
      </c>
      <c r="H17" s="34">
        <f t="shared" si="1"/>
        <v>0</v>
      </c>
      <c r="I17" s="34">
        <f t="shared" si="2"/>
        <v>0</v>
      </c>
      <c r="J17" s="36" t="str">
        <f t="shared" si="3"/>
        <v/>
      </c>
      <c r="K17" s="36" t="str">
        <f t="shared" si="4"/>
        <v/>
      </c>
      <c r="L17" s="36">
        <f t="shared" si="5"/>
        <v>0</v>
      </c>
      <c r="M17" s="36">
        <f t="shared" si="6"/>
        <v>0</v>
      </c>
      <c r="N17" s="36">
        <f t="shared" si="7"/>
        <v>1597.5</v>
      </c>
      <c r="O17" s="36">
        <f t="shared" si="8"/>
        <v>1661</v>
      </c>
      <c r="P17" s="36">
        <f t="shared" si="9"/>
        <v>3258.5</v>
      </c>
      <c r="Q17" s="36">
        <f t="shared" si="10"/>
        <v>1597.5</v>
      </c>
      <c r="R17" s="36">
        <f t="shared" si="11"/>
        <v>1661</v>
      </c>
      <c r="S17" s="37">
        <f t="shared" si="12"/>
        <v>3258.5</v>
      </c>
      <c r="T17">
        <f t="shared" si="13"/>
        <v>3258.5</v>
      </c>
      <c r="U17">
        <f t="shared" si="14"/>
        <v>3258.5</v>
      </c>
      <c r="V17">
        <f>IF(AND(settings!$D$4=0,settings!$D$7=0),'Small Dist Weight'!P17,IF(AND(settings!$D$4=0,settings!$D$7=1),T17,IF(AND(settings!$D$4=1,settings!$D$7=0),S17,U17)))</f>
        <v>3258.5</v>
      </c>
      <c r="AA17">
        <v>1.2430000000000001</v>
      </c>
    </row>
    <row r="18" spans="1:29">
      <c r="A18" t="str">
        <f>'Student Enrollment Data'!A20</f>
        <v>071</v>
      </c>
      <c r="B18">
        <f>'Student Enrollment Data'!B20</f>
        <v>71</v>
      </c>
      <c r="C18" t="str">
        <f>'Student Enrollment Data'!C20</f>
        <v>Garden Valley School District # 071</v>
      </c>
      <c r="D18">
        <v>0</v>
      </c>
      <c r="E18" s="34">
        <f>IF(settings!$G$4=0,'Student Enrollment Data'!BA20,'Student Enrollment Data'!CN20)</f>
        <v>132</v>
      </c>
      <c r="F18" s="34">
        <f>IF(settings!$G$4=0,'Student Enrollment Data'!BB20,'Student Enrollment Data'!CO20)</f>
        <v>107</v>
      </c>
      <c r="G18" s="34">
        <f t="shared" si="0"/>
        <v>1</v>
      </c>
      <c r="H18" s="34">
        <f t="shared" si="1"/>
        <v>1</v>
      </c>
      <c r="I18" s="34">
        <f t="shared" si="2"/>
        <v>1</v>
      </c>
      <c r="J18" s="36">
        <f t="shared" si="3"/>
        <v>1.63</v>
      </c>
      <c r="K18" s="36">
        <f t="shared" si="4"/>
        <v>1.9208620689655174</v>
      </c>
      <c r="L18" s="36">
        <f>IF(E18&lt;=$AA$5,1+$Y$10,IF(AND(E18&gt;=$Z$10,E18&lt;$X$10),1-$AA$10+($AA$11-(E18*$AB$10)),IF(AND(E18&lt;$Z$11,E18&lt;$X$11),1+$AA$10+($AA$11-(E18*$AB$11)),0)))</f>
        <v>1.42</v>
      </c>
      <c r="M18" s="36">
        <f t="shared" si="6"/>
        <v>1.8562931034482759</v>
      </c>
      <c r="N18" s="36">
        <f t="shared" si="7"/>
        <v>215.16</v>
      </c>
      <c r="O18" s="36">
        <f t="shared" si="8"/>
        <v>205.53224137931036</v>
      </c>
      <c r="P18" s="36">
        <f t="shared" si="9"/>
        <v>420.69224137931036</v>
      </c>
      <c r="Q18" s="36">
        <f>IF(G18=1,E18*L18,E18)</f>
        <v>187.44</v>
      </c>
      <c r="R18" s="36">
        <f t="shared" si="11"/>
        <v>198.62336206896552</v>
      </c>
      <c r="S18" s="37">
        <f t="shared" si="12"/>
        <v>386.06336206896549</v>
      </c>
      <c r="T18">
        <f t="shared" si="13"/>
        <v>420.69224137931036</v>
      </c>
      <c r="U18">
        <f t="shared" si="14"/>
        <v>386.06336206896549</v>
      </c>
      <c r="V18">
        <f>IF(AND(settings!$D$4=0,settings!$D$7=0),'Small Dist Weight'!P18,IF(AND(settings!$D$4=0,settings!$D$7=1),T18,IF(AND(settings!$D$4=1,settings!$D$7=0),S18,U18)))</f>
        <v>386.06336206896549</v>
      </c>
    </row>
    <row r="19" spans="1:29">
      <c r="A19" t="str">
        <f>'Student Enrollment Data'!A21</f>
        <v>072</v>
      </c>
      <c r="B19">
        <f>'Student Enrollment Data'!B21</f>
        <v>72</v>
      </c>
      <c r="C19" t="str">
        <f>'Student Enrollment Data'!C21</f>
        <v>Basin School District # 072</v>
      </c>
      <c r="D19">
        <v>0</v>
      </c>
      <c r="E19" s="34">
        <f>IF(settings!$G$4=0,'Student Enrollment Data'!BA21,'Student Enrollment Data'!CN21)</f>
        <v>140.5</v>
      </c>
      <c r="F19" s="34">
        <f>IF(settings!$G$4=0,'Student Enrollment Data'!BB21,'Student Enrollment Data'!CO21)</f>
        <v>187</v>
      </c>
      <c r="G19" s="34">
        <f t="shared" si="0"/>
        <v>1</v>
      </c>
      <c r="H19" s="34">
        <f t="shared" si="1"/>
        <v>1</v>
      </c>
      <c r="I19" s="34">
        <f t="shared" si="2"/>
        <v>1</v>
      </c>
      <c r="J19" s="36">
        <f t="shared" si="3"/>
        <v>1.6029545454545455</v>
      </c>
      <c r="K19" s="36">
        <f t="shared" si="4"/>
        <v>1.8243103448275861</v>
      </c>
      <c r="L19" s="36">
        <f t="shared" si="5"/>
        <v>1.3794318181818181</v>
      </c>
      <c r="M19" s="36">
        <f t="shared" si="6"/>
        <v>1.7114655172413793</v>
      </c>
      <c r="N19" s="36">
        <f t="shared" si="7"/>
        <v>225.21511363636364</v>
      </c>
      <c r="O19" s="36">
        <f t="shared" si="8"/>
        <v>341.14603448275858</v>
      </c>
      <c r="P19" s="36">
        <f t="shared" si="9"/>
        <v>566.36114811912216</v>
      </c>
      <c r="Q19" s="36">
        <f t="shared" si="10"/>
        <v>193.81017045454544</v>
      </c>
      <c r="R19" s="36">
        <f t="shared" si="11"/>
        <v>320.04405172413794</v>
      </c>
      <c r="S19" s="37">
        <f t="shared" si="12"/>
        <v>513.85422217868336</v>
      </c>
      <c r="T19">
        <f t="shared" si="13"/>
        <v>566.36114811912216</v>
      </c>
      <c r="U19">
        <f t="shared" si="14"/>
        <v>513.85422217868336</v>
      </c>
      <c r="V19">
        <f>IF(AND(settings!$D$4=0,settings!$D$7=0),'Small Dist Weight'!P19,IF(AND(settings!$D$4=0,settings!$D$7=1),T19,IF(AND(settings!$D$4=1,settings!$D$7=0),S19,U19)))</f>
        <v>513.85422217868336</v>
      </c>
      <c r="AA19" s="132" t="s">
        <v>544</v>
      </c>
    </row>
    <row r="20" spans="1:29">
      <c r="A20" t="str">
        <f>'Student Enrollment Data'!A22</f>
        <v>073</v>
      </c>
      <c r="B20">
        <f>'Student Enrollment Data'!B22</f>
        <v>73</v>
      </c>
      <c r="C20" t="str">
        <f>'Student Enrollment Data'!C22</f>
        <v>Horseshoe Bend School District # 073</v>
      </c>
      <c r="D20">
        <v>0</v>
      </c>
      <c r="E20" s="34">
        <f>IF(settings!$G$4=0,'Student Enrollment Data'!BA22,'Student Enrollment Data'!CN22)</f>
        <v>105</v>
      </c>
      <c r="F20" s="34">
        <f>IF(settings!$G$4=0,'Student Enrollment Data'!BB22,'Student Enrollment Data'!CO22)</f>
        <v>115</v>
      </c>
      <c r="G20" s="34">
        <f t="shared" si="0"/>
        <v>1</v>
      </c>
      <c r="H20" s="34">
        <f t="shared" si="1"/>
        <v>1</v>
      </c>
      <c r="I20" s="34">
        <f t="shared" si="2"/>
        <v>1</v>
      </c>
      <c r="J20" s="36">
        <f t="shared" si="3"/>
        <v>1.7159090909090908</v>
      </c>
      <c r="K20" s="36">
        <f t="shared" si="4"/>
        <v>1.9112068965517242</v>
      </c>
      <c r="L20" s="36">
        <f t="shared" si="5"/>
        <v>1.5488636363636363</v>
      </c>
      <c r="M20" s="36">
        <f t="shared" si="6"/>
        <v>1.8418103448275862</v>
      </c>
      <c r="N20" s="36">
        <f t="shared" si="7"/>
        <v>180.17045454545453</v>
      </c>
      <c r="O20" s="36">
        <f t="shared" si="8"/>
        <v>219.78879310344828</v>
      </c>
      <c r="P20" s="36">
        <f t="shared" si="9"/>
        <v>399.95924764890282</v>
      </c>
      <c r="Q20" s="36">
        <f t="shared" si="10"/>
        <v>162.63068181818181</v>
      </c>
      <c r="R20" s="36">
        <f t="shared" si="11"/>
        <v>211.80818965517241</v>
      </c>
      <c r="S20" s="37">
        <f t="shared" si="12"/>
        <v>374.4388714733542</v>
      </c>
      <c r="T20">
        <f t="shared" si="13"/>
        <v>399.95924764890282</v>
      </c>
      <c r="U20">
        <f t="shared" si="14"/>
        <v>374.4388714733542</v>
      </c>
      <c r="V20">
        <f>IF(AND(settings!$D$4=0,settings!$D$7=0),'Small Dist Weight'!P20,IF(AND(settings!$D$4=0,settings!$D$7=1),T20,IF(AND(settings!$D$4=1,settings!$D$7=0),S20,U20)))</f>
        <v>374.4388714733542</v>
      </c>
      <c r="AA20" t="s">
        <v>545</v>
      </c>
    </row>
    <row r="21" spans="1:29">
      <c r="A21" t="str">
        <f>'Student Enrollment Data'!A23</f>
        <v>083</v>
      </c>
      <c r="B21">
        <f>'Student Enrollment Data'!B23</f>
        <v>83</v>
      </c>
      <c r="C21" t="str">
        <f>'Student Enrollment Data'!C23</f>
        <v>West Bonner County School District # 083</v>
      </c>
      <c r="D21">
        <v>0</v>
      </c>
      <c r="E21" s="34">
        <f>IF(settings!$G$4=0,'Student Enrollment Data'!BA23,'Student Enrollment Data'!CN23)</f>
        <v>498</v>
      </c>
      <c r="F21" s="34">
        <f>IF(settings!$G$4=0,'Student Enrollment Data'!BB23,'Student Enrollment Data'!CO23)</f>
        <v>443.27499999999998</v>
      </c>
      <c r="G21" s="34">
        <f t="shared" si="0"/>
        <v>0</v>
      </c>
      <c r="H21" s="34">
        <f t="shared" si="1"/>
        <v>1</v>
      </c>
      <c r="I21" s="34">
        <f t="shared" si="2"/>
        <v>0</v>
      </c>
      <c r="J21" s="36" t="str">
        <f t="shared" si="3"/>
        <v/>
      </c>
      <c r="K21" s="36">
        <f t="shared" si="4"/>
        <v>1.5150129310344829</v>
      </c>
      <c r="L21" s="36">
        <f t="shared" si="5"/>
        <v>0</v>
      </c>
      <c r="M21" s="36">
        <f t="shared" si="6"/>
        <v>1.2575064655172414</v>
      </c>
      <c r="N21" s="36">
        <f t="shared" si="7"/>
        <v>498</v>
      </c>
      <c r="O21" s="36">
        <f t="shared" si="8"/>
        <v>671.56735700431034</v>
      </c>
      <c r="P21" s="36">
        <f t="shared" si="9"/>
        <v>1169.5673570043105</v>
      </c>
      <c r="Q21" s="36">
        <f t="shared" si="10"/>
        <v>498</v>
      </c>
      <c r="R21" s="36">
        <f t="shared" si="11"/>
        <v>557.42117850215516</v>
      </c>
      <c r="S21" s="37">
        <f t="shared" si="12"/>
        <v>1055.4211785021553</v>
      </c>
      <c r="T21">
        <f t="shared" si="13"/>
        <v>1169.5673570043105</v>
      </c>
      <c r="U21">
        <f t="shared" si="14"/>
        <v>1055.4211785021553</v>
      </c>
      <c r="V21">
        <f>IF(AND(settings!$D$4=0,settings!$D$7=0),'Small Dist Weight'!P21,IF(AND(settings!$D$4=0,settings!$D$7=1),T21,IF(AND(settings!$D$4=1,settings!$D$7=0),S21,U21)))</f>
        <v>1055.4211785021553</v>
      </c>
    </row>
    <row r="22" spans="1:29">
      <c r="A22" t="str">
        <f>'Student Enrollment Data'!A24</f>
        <v>084</v>
      </c>
      <c r="B22">
        <f>'Student Enrollment Data'!B24</f>
        <v>84</v>
      </c>
      <c r="C22" t="str">
        <f>'Student Enrollment Data'!C24</f>
        <v>Lake Pend Oreille School District # 084</v>
      </c>
      <c r="D22">
        <v>0</v>
      </c>
      <c r="E22" s="34">
        <f>IF(settings!$G$4=0,'Student Enrollment Data'!BA24,'Student Enrollment Data'!CN24)</f>
        <v>1928</v>
      </c>
      <c r="F22" s="34">
        <f>IF(settings!$G$4=0,'Student Enrollment Data'!BB24,'Student Enrollment Data'!CO24)</f>
        <v>1748.8495798319327</v>
      </c>
      <c r="G22" s="34">
        <f t="shared" si="0"/>
        <v>0</v>
      </c>
      <c r="H22" s="34">
        <f t="shared" si="1"/>
        <v>0</v>
      </c>
      <c r="I22" s="34">
        <f t="shared" si="2"/>
        <v>0</v>
      </c>
      <c r="J22" s="36" t="str">
        <f t="shared" si="3"/>
        <v/>
      </c>
      <c r="K22" s="36" t="str">
        <f t="shared" si="4"/>
        <v/>
      </c>
      <c r="L22" s="36">
        <f t="shared" si="5"/>
        <v>0</v>
      </c>
      <c r="M22" s="36">
        <f t="shared" si="6"/>
        <v>0</v>
      </c>
      <c r="N22" s="36">
        <f t="shared" si="7"/>
        <v>1928</v>
      </c>
      <c r="O22" s="36">
        <f t="shared" si="8"/>
        <v>1748.8495798319327</v>
      </c>
      <c r="P22" s="36">
        <f t="shared" si="9"/>
        <v>3676.8495798319327</v>
      </c>
      <c r="Q22" s="36">
        <f t="shared" si="10"/>
        <v>1928</v>
      </c>
      <c r="R22" s="36">
        <f t="shared" si="11"/>
        <v>1748.8495798319327</v>
      </c>
      <c r="S22" s="37">
        <f t="shared" si="12"/>
        <v>3676.8495798319327</v>
      </c>
      <c r="T22">
        <f t="shared" si="13"/>
        <v>3676.8495798319327</v>
      </c>
      <c r="U22">
        <f t="shared" si="14"/>
        <v>3676.8495798319327</v>
      </c>
      <c r="V22">
        <f>IF(AND(settings!$D$4=0,settings!$D$7=0),'Small Dist Weight'!P22,IF(AND(settings!$D$4=0,settings!$D$7=1),T22,IF(AND(settings!$D$4=1,settings!$D$7=0),S22,U22)))</f>
        <v>3676.8495798319327</v>
      </c>
    </row>
    <row r="23" spans="1:29">
      <c r="A23" t="str">
        <f>'Student Enrollment Data'!A25</f>
        <v>091</v>
      </c>
      <c r="B23">
        <f>'Student Enrollment Data'!B25</f>
        <v>91</v>
      </c>
      <c r="C23" t="str">
        <f>'Student Enrollment Data'!C25</f>
        <v>Idaho Falls School District # 091</v>
      </c>
      <c r="D23">
        <v>0</v>
      </c>
      <c r="E23" s="34">
        <f>IF(settings!$G$4=0,'Student Enrollment Data'!BA25,'Student Enrollment Data'!CN25)</f>
        <v>4980.5</v>
      </c>
      <c r="F23" s="34">
        <f>IF(settings!$G$4=0,'Student Enrollment Data'!BB25,'Student Enrollment Data'!CO25)</f>
        <v>4817.1269688203147</v>
      </c>
      <c r="G23" s="34">
        <f t="shared" si="0"/>
        <v>0</v>
      </c>
      <c r="H23" s="34">
        <f t="shared" si="1"/>
        <v>0</v>
      </c>
      <c r="I23" s="34">
        <f t="shared" si="2"/>
        <v>0</v>
      </c>
      <c r="J23" s="36" t="str">
        <f t="shared" si="3"/>
        <v/>
      </c>
      <c r="K23" s="36" t="str">
        <f t="shared" si="4"/>
        <v/>
      </c>
      <c r="L23" s="36">
        <f t="shared" si="5"/>
        <v>0</v>
      </c>
      <c r="M23" s="36">
        <f t="shared" si="6"/>
        <v>0</v>
      </c>
      <c r="N23" s="36">
        <f t="shared" si="7"/>
        <v>4980.5</v>
      </c>
      <c r="O23" s="36">
        <f t="shared" si="8"/>
        <v>4817.1269688203147</v>
      </c>
      <c r="P23" s="36">
        <f t="shared" si="9"/>
        <v>9797.6269688203138</v>
      </c>
      <c r="Q23" s="36">
        <f t="shared" si="10"/>
        <v>4980.5</v>
      </c>
      <c r="R23" s="36">
        <f t="shared" si="11"/>
        <v>4817.1269688203147</v>
      </c>
      <c r="S23" s="37">
        <f t="shared" si="12"/>
        <v>9797.6269688203138</v>
      </c>
      <c r="T23">
        <f t="shared" si="13"/>
        <v>9797.6269688203138</v>
      </c>
      <c r="U23">
        <f t="shared" si="14"/>
        <v>9797.6269688203138</v>
      </c>
      <c r="V23">
        <f>IF(AND(settings!$D$4=0,settings!$D$7=0),'Small Dist Weight'!P23,IF(AND(settings!$D$4=0,settings!$D$7=1),T23,IF(AND(settings!$D$4=1,settings!$D$7=0),S23,U23)))</f>
        <v>9797.6269688203138</v>
      </c>
      <c r="AA23">
        <f>1-AA10</f>
        <v>0.73750000000000004</v>
      </c>
      <c r="AB23" s="39"/>
    </row>
    <row r="24" spans="1:29">
      <c r="A24" t="str">
        <f>'Student Enrollment Data'!A26</f>
        <v>092</v>
      </c>
      <c r="B24">
        <f>'Student Enrollment Data'!B26</f>
        <v>92</v>
      </c>
      <c r="C24" t="str">
        <f>'Student Enrollment Data'!C26</f>
        <v>Swan Valley Elementary School District # 092</v>
      </c>
      <c r="D24">
        <v>0</v>
      </c>
      <c r="E24" s="34">
        <f>IF(settings!$G$4=0,'Student Enrollment Data'!BA26,'Student Enrollment Data'!CN26)</f>
        <v>31.5</v>
      </c>
      <c r="F24" s="34">
        <f>IF(settings!$G$4=0,'Student Enrollment Data'!BB26,'Student Enrollment Data'!CO26)</f>
        <v>9</v>
      </c>
      <c r="G24" s="34">
        <f t="shared" si="0"/>
        <v>1</v>
      </c>
      <c r="H24" s="34">
        <f t="shared" si="1"/>
        <v>1</v>
      </c>
      <c r="I24" s="34">
        <f t="shared" si="2"/>
        <v>1</v>
      </c>
      <c r="J24" s="36">
        <f t="shared" si="3"/>
        <v>1.9497727272727272</v>
      </c>
      <c r="K24" s="36">
        <f t="shared" si="4"/>
        <v>2.0499999999999998</v>
      </c>
      <c r="L24" s="36">
        <f t="shared" si="5"/>
        <v>1.8996590909090909</v>
      </c>
      <c r="M24" s="36">
        <f t="shared" si="6"/>
        <v>2.0499999999999998</v>
      </c>
      <c r="N24" s="36">
        <f t="shared" si="7"/>
        <v>61.417840909090906</v>
      </c>
      <c r="O24" s="36">
        <f t="shared" si="8"/>
        <v>18.45</v>
      </c>
      <c r="P24" s="36">
        <f t="shared" si="9"/>
        <v>79.867840909090901</v>
      </c>
      <c r="Q24" s="36">
        <f t="shared" si="10"/>
        <v>59.839261363636361</v>
      </c>
      <c r="R24" s="36">
        <f t="shared" si="11"/>
        <v>18.45</v>
      </c>
      <c r="S24" s="37">
        <f t="shared" si="12"/>
        <v>78.289261363636356</v>
      </c>
      <c r="T24">
        <f t="shared" si="13"/>
        <v>79.867840909090901</v>
      </c>
      <c r="U24">
        <f t="shared" si="14"/>
        <v>78.289261363636356</v>
      </c>
      <c r="V24">
        <f>IF(AND(settings!$D$4=0,settings!$D$7=0),'Small Dist Weight'!P24,IF(AND(settings!$D$4=0,settings!$D$7=1),T24,IF(AND(settings!$D$4=1,settings!$D$7=0),S24,U24)))</f>
        <v>78.289261363636356</v>
      </c>
      <c r="AA24" t="s">
        <v>543</v>
      </c>
      <c r="AB24" s="39" t="s">
        <v>547</v>
      </c>
    </row>
    <row r="25" spans="1:29">
      <c r="A25" t="str">
        <f>'Student Enrollment Data'!A27</f>
        <v>093</v>
      </c>
      <c r="B25">
        <f>'Student Enrollment Data'!B27</f>
        <v>93</v>
      </c>
      <c r="C25" t="str">
        <f>'Student Enrollment Data'!C27</f>
        <v>Bonneville Joint School District # 093</v>
      </c>
      <c r="D25">
        <v>0</v>
      </c>
      <c r="E25" s="34">
        <f>IF(settings!$G$4=0,'Student Enrollment Data'!BA27,'Student Enrollment Data'!CN27)</f>
        <v>6403.5</v>
      </c>
      <c r="F25" s="34">
        <f>IF(settings!$G$4=0,'Student Enrollment Data'!BB27,'Student Enrollment Data'!CO27)</f>
        <v>5936.7014705882357</v>
      </c>
      <c r="G25" s="34">
        <f t="shared" si="0"/>
        <v>0</v>
      </c>
      <c r="H25" s="34">
        <f t="shared" si="1"/>
        <v>0</v>
      </c>
      <c r="I25" s="34">
        <f t="shared" si="2"/>
        <v>0</v>
      </c>
      <c r="J25" s="36" t="str">
        <f t="shared" si="3"/>
        <v/>
      </c>
      <c r="K25" s="36" t="str">
        <f t="shared" si="4"/>
        <v/>
      </c>
      <c r="L25" s="36">
        <f t="shared" si="5"/>
        <v>0</v>
      </c>
      <c r="M25" s="36">
        <f t="shared" si="6"/>
        <v>0</v>
      </c>
      <c r="N25" s="36">
        <f t="shared" si="7"/>
        <v>6403.5</v>
      </c>
      <c r="O25" s="36">
        <f t="shared" si="8"/>
        <v>5936.7014705882357</v>
      </c>
      <c r="P25" s="36">
        <f t="shared" si="9"/>
        <v>12340.201470588236</v>
      </c>
      <c r="Q25" s="36">
        <f t="shared" si="10"/>
        <v>6403.5</v>
      </c>
      <c r="R25" s="36">
        <f t="shared" si="11"/>
        <v>5936.7014705882357</v>
      </c>
      <c r="S25" s="37">
        <f t="shared" si="12"/>
        <v>12340.201470588236</v>
      </c>
      <c r="T25">
        <f t="shared" si="13"/>
        <v>12340.201470588236</v>
      </c>
      <c r="U25">
        <f t="shared" si="14"/>
        <v>12340.201470588236</v>
      </c>
      <c r="V25">
        <f>IF(AND(settings!$D$4=0,settings!$D$7=0),'Small Dist Weight'!P25,IF(AND(settings!$D$4=0,settings!$D$7=1),T25,IF(AND(settings!$D$4=1,settings!$D$7=0),S25,U25)))</f>
        <v>12340.201470588236</v>
      </c>
      <c r="AA25">
        <f>AA11</f>
        <v>0.78750000000000009</v>
      </c>
      <c r="AB25" s="39"/>
    </row>
    <row r="26" spans="1:29">
      <c r="A26" t="str">
        <f>'Student Enrollment Data'!A28</f>
        <v>101</v>
      </c>
      <c r="B26">
        <f>'Student Enrollment Data'!B28</f>
        <v>101</v>
      </c>
      <c r="C26" t="str">
        <f>'Student Enrollment Data'!C28</f>
        <v>Boundary County School District # 101</v>
      </c>
      <c r="D26">
        <v>0</v>
      </c>
      <c r="E26" s="34">
        <f>IF(settings!$G$4=0,'Student Enrollment Data'!BA28,'Student Enrollment Data'!CN28)</f>
        <v>692.5</v>
      </c>
      <c r="F26" s="34">
        <f>IF(settings!$G$4=0,'Student Enrollment Data'!BB28,'Student Enrollment Data'!CO28)</f>
        <v>672.5419117647059</v>
      </c>
      <c r="G26" s="34">
        <f t="shared" si="0"/>
        <v>0</v>
      </c>
      <c r="H26" s="34">
        <f t="shared" si="1"/>
        <v>1</v>
      </c>
      <c r="I26" s="34">
        <f t="shared" si="2"/>
        <v>0</v>
      </c>
      <c r="J26" s="36" t="str">
        <f t="shared" si="3"/>
        <v/>
      </c>
      <c r="K26" s="36">
        <f t="shared" si="4"/>
        <v>1.238311485801217</v>
      </c>
      <c r="L26" s="36">
        <f t="shared" si="5"/>
        <v>0</v>
      </c>
      <c r="M26" s="36">
        <f t="shared" si="6"/>
        <v>1.1191557429006087</v>
      </c>
      <c r="N26" s="36">
        <f t="shared" si="7"/>
        <v>692.5</v>
      </c>
      <c r="O26" s="36">
        <f t="shared" si="8"/>
        <v>832.81637402094395</v>
      </c>
      <c r="P26" s="36">
        <f t="shared" si="9"/>
        <v>1525.3163740209438</v>
      </c>
      <c r="Q26" s="36">
        <f t="shared" si="10"/>
        <v>692.5</v>
      </c>
      <c r="R26" s="36">
        <f t="shared" si="11"/>
        <v>752.6791428928251</v>
      </c>
      <c r="S26" s="37">
        <f t="shared" si="12"/>
        <v>1445.179142892825</v>
      </c>
      <c r="T26">
        <f t="shared" si="13"/>
        <v>1525.3163740209438</v>
      </c>
      <c r="U26">
        <f t="shared" si="14"/>
        <v>1445.179142892825</v>
      </c>
      <c r="V26">
        <f>IF(AND(settings!$D$4=0,settings!$D$7=0),'Small Dist Weight'!P26,IF(AND(settings!$D$4=0,settings!$D$7=1),T26,IF(AND(settings!$D$4=1,settings!$D$7=0),S26,U26)))</f>
        <v>1445.179142892825</v>
      </c>
      <c r="AA26" t="s">
        <v>546</v>
      </c>
    </row>
    <row r="27" spans="1:29">
      <c r="A27" t="str">
        <f>'Student Enrollment Data'!A29</f>
        <v>111</v>
      </c>
      <c r="B27">
        <f>'Student Enrollment Data'!B29</f>
        <v>111</v>
      </c>
      <c r="C27" t="str">
        <f>'Student Enrollment Data'!C29</f>
        <v>Butte County Joint School District # 111</v>
      </c>
      <c r="D27">
        <v>0</v>
      </c>
      <c r="E27" s="34">
        <f>IF(settings!$G$4=0,'Student Enrollment Data'!BA29,'Student Enrollment Data'!CN29)</f>
        <v>219</v>
      </c>
      <c r="F27" s="34">
        <f>IF(settings!$G$4=0,'Student Enrollment Data'!BB29,'Student Enrollment Data'!CO29)</f>
        <v>183</v>
      </c>
      <c r="G27" s="34">
        <f t="shared" si="0"/>
        <v>1</v>
      </c>
      <c r="H27" s="34">
        <f t="shared" si="1"/>
        <v>1</v>
      </c>
      <c r="I27" s="34">
        <f t="shared" si="2"/>
        <v>1</v>
      </c>
      <c r="J27" s="36">
        <f t="shared" si="3"/>
        <v>1.353181818181818</v>
      </c>
      <c r="K27" s="36">
        <f t="shared" si="4"/>
        <v>1.8291379310344829</v>
      </c>
      <c r="L27" s="36">
        <f t="shared" si="5"/>
        <v>1.1765909090909092</v>
      </c>
      <c r="M27" s="36">
        <f t="shared" si="6"/>
        <v>1.718706896551724</v>
      </c>
      <c r="N27" s="36">
        <f t="shared" si="7"/>
        <v>296.34681818181815</v>
      </c>
      <c r="O27" s="36">
        <f t="shared" si="8"/>
        <v>334.73224137931038</v>
      </c>
      <c r="P27" s="36">
        <f t="shared" si="9"/>
        <v>631.07905956112859</v>
      </c>
      <c r="Q27" s="36">
        <f t="shared" si="10"/>
        <v>257.6734090909091</v>
      </c>
      <c r="R27" s="36">
        <f t="shared" si="11"/>
        <v>314.52336206896553</v>
      </c>
      <c r="S27" s="37">
        <f t="shared" si="12"/>
        <v>572.19677115987463</v>
      </c>
      <c r="T27">
        <f t="shared" si="13"/>
        <v>631.07905956112859</v>
      </c>
      <c r="U27">
        <f t="shared" si="14"/>
        <v>572.19677115987463</v>
      </c>
      <c r="V27">
        <f>IF(AND(settings!$D$4=0,settings!$D$7=0),'Small Dist Weight'!P27,IF(AND(settings!$D$4=0,settings!$D$7=1),T27,IF(AND(settings!$D$4=1,settings!$D$7=0),S27,U27)))</f>
        <v>572.19677115987463</v>
      </c>
      <c r="AA27" s="39">
        <f>E27*AB10</f>
        <v>0.34840909090909095</v>
      </c>
    </row>
    <row r="28" spans="1:29">
      <c r="A28" t="str">
        <f>'Student Enrollment Data'!A30</f>
        <v>121</v>
      </c>
      <c r="B28">
        <f>'Student Enrollment Data'!B30</f>
        <v>121</v>
      </c>
      <c r="C28" t="str">
        <f>'Student Enrollment Data'!C30</f>
        <v>Camas County School District # 121</v>
      </c>
      <c r="D28">
        <v>0</v>
      </c>
      <c r="E28" s="34">
        <f>IF(settings!$G$4=0,'Student Enrollment Data'!BA30,'Student Enrollment Data'!CN30)</f>
        <v>90.5</v>
      </c>
      <c r="F28" s="34">
        <f>IF(settings!$G$4=0,'Student Enrollment Data'!BB30,'Student Enrollment Data'!CO30)</f>
        <v>100</v>
      </c>
      <c r="G28" s="34">
        <f t="shared" si="0"/>
        <v>1</v>
      </c>
      <c r="H28" s="34">
        <f t="shared" si="1"/>
        <v>1</v>
      </c>
      <c r="I28" s="34">
        <f t="shared" si="2"/>
        <v>1</v>
      </c>
      <c r="J28" s="36">
        <f t="shared" si="3"/>
        <v>1.7620454545454547</v>
      </c>
      <c r="K28" s="36">
        <f t="shared" si="4"/>
        <v>1.9293103448275861</v>
      </c>
      <c r="L28" s="36">
        <f t="shared" si="5"/>
        <v>1.6180681818181819</v>
      </c>
      <c r="M28" s="36">
        <f t="shared" si="6"/>
        <v>1.8689655172413793</v>
      </c>
      <c r="N28" s="36">
        <f t="shared" si="7"/>
        <v>159.46511363636364</v>
      </c>
      <c r="O28" s="36">
        <f t="shared" si="8"/>
        <v>192.93103448275861</v>
      </c>
      <c r="P28" s="36">
        <f t="shared" si="9"/>
        <v>352.39614811912224</v>
      </c>
      <c r="Q28" s="36">
        <f t="shared" si="10"/>
        <v>146.43517045454547</v>
      </c>
      <c r="R28" s="36">
        <f t="shared" si="11"/>
        <v>186.89655172413794</v>
      </c>
      <c r="S28" s="37">
        <f t="shared" si="12"/>
        <v>333.33172217868344</v>
      </c>
      <c r="T28">
        <f t="shared" si="13"/>
        <v>352.39614811912224</v>
      </c>
      <c r="U28">
        <f t="shared" si="14"/>
        <v>333.33172217868344</v>
      </c>
      <c r="V28">
        <f>IF(AND(settings!$D$4=0,settings!$D$7=0),'Small Dist Weight'!P28,IF(AND(settings!$D$4=0,settings!$D$7=1),T28,IF(AND(settings!$D$4=1,settings!$D$7=0),S28,U28)))</f>
        <v>333.33172217868344</v>
      </c>
      <c r="AA28" s="39"/>
    </row>
    <row r="29" spans="1:29">
      <c r="A29" t="str">
        <f>'Student Enrollment Data'!A31</f>
        <v>131</v>
      </c>
      <c r="B29">
        <f>'Student Enrollment Data'!B31</f>
        <v>131</v>
      </c>
      <c r="C29" t="str">
        <f>'Student Enrollment Data'!C31</f>
        <v>Nampa School District # 131</v>
      </c>
      <c r="D29">
        <v>0</v>
      </c>
      <c r="E29" s="34">
        <f>IF(settings!$G$4=0,'Student Enrollment Data'!BA31,'Student Enrollment Data'!CN31)</f>
        <v>6793.5901558823525</v>
      </c>
      <c r="F29" s="34">
        <f>IF(settings!$G$4=0,'Student Enrollment Data'!BB31,'Student Enrollment Data'!CO31)</f>
        <v>6669.0457450980393</v>
      </c>
      <c r="G29" s="34">
        <f t="shared" si="0"/>
        <v>0</v>
      </c>
      <c r="H29" s="34">
        <f t="shared" si="1"/>
        <v>0</v>
      </c>
      <c r="I29" s="34">
        <f t="shared" si="2"/>
        <v>0</v>
      </c>
      <c r="J29" s="36" t="str">
        <f t="shared" si="3"/>
        <v/>
      </c>
      <c r="K29" s="36" t="str">
        <f t="shared" si="4"/>
        <v/>
      </c>
      <c r="L29" s="36">
        <f t="shared" si="5"/>
        <v>0</v>
      </c>
      <c r="M29" s="36">
        <f t="shared" si="6"/>
        <v>0</v>
      </c>
      <c r="N29" s="36">
        <f t="shared" si="7"/>
        <v>6793.5901558823525</v>
      </c>
      <c r="O29" s="36">
        <f t="shared" si="8"/>
        <v>6669.0457450980393</v>
      </c>
      <c r="P29" s="36">
        <f t="shared" si="9"/>
        <v>13462.635900980393</v>
      </c>
      <c r="Q29" s="36">
        <f t="shared" si="10"/>
        <v>6793.5901558823525</v>
      </c>
      <c r="R29" s="36">
        <f t="shared" si="11"/>
        <v>6669.0457450980393</v>
      </c>
      <c r="S29" s="37">
        <f t="shared" si="12"/>
        <v>13462.635900980393</v>
      </c>
      <c r="T29">
        <f t="shared" si="13"/>
        <v>13462.635900980393</v>
      </c>
      <c r="U29">
        <f t="shared" si="14"/>
        <v>13462.635900980393</v>
      </c>
      <c r="V29">
        <f>IF(AND(settings!$D$4=0,settings!$D$7=0),'Small Dist Weight'!P29,IF(AND(settings!$D$4=0,settings!$D$7=1),T29,IF(AND(settings!$D$4=1,settings!$D$7=0),S29,U29)))</f>
        <v>13462.635900980393</v>
      </c>
      <c r="AB29">
        <v>330</v>
      </c>
    </row>
    <row r="30" spans="1:29">
      <c r="A30" t="str">
        <f>'Student Enrollment Data'!A32</f>
        <v>132</v>
      </c>
      <c r="B30">
        <f>'Student Enrollment Data'!B32</f>
        <v>132</v>
      </c>
      <c r="C30" t="str">
        <f>'Student Enrollment Data'!C32</f>
        <v>Caldwell School District # 132</v>
      </c>
      <c r="D30">
        <v>0</v>
      </c>
      <c r="E30" s="34">
        <f>IF(settings!$G$4=0,'Student Enrollment Data'!BA32,'Student Enrollment Data'!CN32)</f>
        <v>3298.9605154965211</v>
      </c>
      <c r="F30" s="34">
        <f>IF(settings!$G$4=0,'Student Enrollment Data'!BB32,'Student Enrollment Data'!CO32)</f>
        <v>2811.0604048070841</v>
      </c>
      <c r="G30" s="34">
        <f t="shared" si="0"/>
        <v>0</v>
      </c>
      <c r="H30" s="34">
        <f t="shared" si="1"/>
        <v>0</v>
      </c>
      <c r="I30" s="34">
        <f t="shared" si="2"/>
        <v>0</v>
      </c>
      <c r="J30" s="36" t="str">
        <f t="shared" si="3"/>
        <v/>
      </c>
      <c r="K30" s="36" t="str">
        <f t="shared" si="4"/>
        <v/>
      </c>
      <c r="L30" s="36">
        <f t="shared" si="5"/>
        <v>0</v>
      </c>
      <c r="M30" s="36">
        <f t="shared" si="6"/>
        <v>0</v>
      </c>
      <c r="N30" s="36">
        <f t="shared" si="7"/>
        <v>3298.9605154965211</v>
      </c>
      <c r="O30" s="36">
        <f t="shared" si="8"/>
        <v>2811.0604048070841</v>
      </c>
      <c r="P30" s="36">
        <f t="shared" si="9"/>
        <v>6110.0209203036047</v>
      </c>
      <c r="Q30" s="36">
        <f t="shared" si="10"/>
        <v>3298.9605154965211</v>
      </c>
      <c r="R30" s="36">
        <f t="shared" si="11"/>
        <v>2811.0604048070841</v>
      </c>
      <c r="S30" s="37">
        <f t="shared" si="12"/>
        <v>6110.0209203036047</v>
      </c>
      <c r="T30">
        <f t="shared" si="13"/>
        <v>6110.0209203036047</v>
      </c>
      <c r="U30">
        <f t="shared" si="14"/>
        <v>6110.0209203036047</v>
      </c>
      <c r="V30">
        <f>IF(AND(settings!$D$4=0,settings!$D$7=0),'Small Dist Weight'!P30,IF(AND(settings!$D$4=0,settings!$D$7=1),T30,IF(AND(settings!$D$4=1,settings!$D$7=0),S30,U30)))</f>
        <v>6110.0209203036047</v>
      </c>
      <c r="AB30">
        <v>4.7699999999999999E-3</v>
      </c>
      <c r="AC30">
        <f>$AB$29*AB30</f>
        <v>1.5741000000000001</v>
      </c>
    </row>
    <row r="31" spans="1:29" s="27" customFormat="1">
      <c r="A31" s="27" t="str">
        <f>'Student Enrollment Data'!A33</f>
        <v>133</v>
      </c>
      <c r="B31" s="27">
        <f>'Student Enrollment Data'!B33</f>
        <v>133</v>
      </c>
      <c r="C31" s="27" t="str">
        <f>'Student Enrollment Data'!C33</f>
        <v>Wilder School District # 133</v>
      </c>
      <c r="D31" s="27">
        <v>0</v>
      </c>
      <c r="E31" s="134">
        <f>IF(settings!$G$4=0,'Student Enrollment Data'!BA33,'Student Enrollment Data'!CN33)</f>
        <v>275.5</v>
      </c>
      <c r="F31" s="134">
        <f>IF(settings!$G$4=0,'Student Enrollment Data'!BB33,'Student Enrollment Data'!CO33)</f>
        <v>224</v>
      </c>
      <c r="G31" s="134">
        <f t="shared" si="0"/>
        <v>1</v>
      </c>
      <c r="H31" s="134">
        <f t="shared" si="1"/>
        <v>1</v>
      </c>
      <c r="I31" s="134">
        <f t="shared" si="2"/>
        <v>1</v>
      </c>
      <c r="J31" s="135">
        <f t="shared" si="3"/>
        <v>1.1734090909090908</v>
      </c>
      <c r="K31" s="135">
        <f t="shared" si="4"/>
        <v>1.779655172413793</v>
      </c>
      <c r="L31" s="135">
        <f t="shared" si="5"/>
        <v>1.0867045454545456</v>
      </c>
      <c r="M31" s="135">
        <f t="shared" si="6"/>
        <v>1.6444827586206896</v>
      </c>
      <c r="N31" s="135">
        <f t="shared" si="7"/>
        <v>323.27420454545455</v>
      </c>
      <c r="O31" s="135">
        <f t="shared" si="8"/>
        <v>398.64275862068962</v>
      </c>
      <c r="P31" s="135">
        <f t="shared" si="9"/>
        <v>721.91696316614411</v>
      </c>
      <c r="Q31" s="135">
        <f t="shared" si="10"/>
        <v>299.3871022727273</v>
      </c>
      <c r="R31" s="135">
        <f t="shared" si="11"/>
        <v>368.36413793103446</v>
      </c>
      <c r="S31" s="136">
        <f t="shared" si="12"/>
        <v>667.75124020376177</v>
      </c>
      <c r="T31" s="27">
        <f t="shared" si="13"/>
        <v>721.91696316614411</v>
      </c>
      <c r="U31" s="27">
        <f t="shared" si="14"/>
        <v>667.75124020376177</v>
      </c>
      <c r="V31" s="27">
        <f>IF(AND(settings!$D$4=0,settings!$D$7=0),'Small Dist Weight'!P31,IF(AND(settings!$D$4=0,settings!$D$7=1),T31,IF(AND(settings!$D$4=1,settings!$D$7=0),S31,U31)))</f>
        <v>667.75124020376177</v>
      </c>
      <c r="AB31" s="27">
        <v>4.7999999999999996E-3</v>
      </c>
      <c r="AC31" s="27">
        <f>$AB$29*AB31</f>
        <v>1.5839999999999999</v>
      </c>
    </row>
    <row r="32" spans="1:29">
      <c r="A32" t="str">
        <f>'Student Enrollment Data'!A34</f>
        <v>134</v>
      </c>
      <c r="B32">
        <f>'Student Enrollment Data'!B34</f>
        <v>134</v>
      </c>
      <c r="C32" t="str">
        <f>'Student Enrollment Data'!C34</f>
        <v>Middleton School District # 134</v>
      </c>
      <c r="D32">
        <v>0</v>
      </c>
      <c r="E32" s="34">
        <f>IF(settings!$G$4=0,'Student Enrollment Data'!BA34,'Student Enrollment Data'!CN34)</f>
        <v>1930.5857843137255</v>
      </c>
      <c r="F32" s="34">
        <f>IF(settings!$G$4=0,'Student Enrollment Data'!BB34,'Student Enrollment Data'!CO34)</f>
        <v>1999.6617647058824</v>
      </c>
      <c r="G32" s="34">
        <f t="shared" si="0"/>
        <v>0</v>
      </c>
      <c r="H32" s="34">
        <f t="shared" si="1"/>
        <v>0</v>
      </c>
      <c r="I32" s="34">
        <f t="shared" si="2"/>
        <v>0</v>
      </c>
      <c r="J32" s="36" t="str">
        <f t="shared" si="3"/>
        <v/>
      </c>
      <c r="K32" s="36" t="str">
        <f t="shared" si="4"/>
        <v/>
      </c>
      <c r="L32" s="36">
        <f t="shared" si="5"/>
        <v>0</v>
      </c>
      <c r="M32" s="36">
        <f t="shared" si="6"/>
        <v>0</v>
      </c>
      <c r="N32" s="36">
        <f t="shared" si="7"/>
        <v>1930.5857843137255</v>
      </c>
      <c r="O32" s="36">
        <f t="shared" si="8"/>
        <v>1999.6617647058824</v>
      </c>
      <c r="P32" s="36">
        <f t="shared" si="9"/>
        <v>3930.247549019608</v>
      </c>
      <c r="Q32" s="36">
        <f t="shared" si="10"/>
        <v>1930.5857843137255</v>
      </c>
      <c r="R32" s="36">
        <f t="shared" si="11"/>
        <v>1999.6617647058824</v>
      </c>
      <c r="S32" s="37">
        <f t="shared" si="12"/>
        <v>3930.247549019608</v>
      </c>
      <c r="T32">
        <f t="shared" si="13"/>
        <v>3930.247549019608</v>
      </c>
      <c r="U32">
        <f t="shared" si="14"/>
        <v>3930.247549019608</v>
      </c>
      <c r="V32">
        <f>IF(AND(settings!$D$4=0,settings!$D$7=0),'Small Dist Weight'!P32,IF(AND(settings!$D$4=0,settings!$D$7=1),T32,IF(AND(settings!$D$4=1,settings!$D$7=0),S32,U32)))</f>
        <v>3930.247549019608</v>
      </c>
      <c r="AC32">
        <f>AC31-AC30</f>
        <v>9.8999999999997979E-3</v>
      </c>
    </row>
    <row r="33" spans="1:22">
      <c r="A33" t="str">
        <f>'Student Enrollment Data'!A35</f>
        <v>135</v>
      </c>
      <c r="B33">
        <f>'Student Enrollment Data'!B35</f>
        <v>135</v>
      </c>
      <c r="C33" t="str">
        <f>'Student Enrollment Data'!C35</f>
        <v>Notus School District # 135</v>
      </c>
      <c r="D33">
        <v>0</v>
      </c>
      <c r="E33" s="34">
        <f>IF(settings!$G$4=0,'Student Enrollment Data'!BA35,'Student Enrollment Data'!CN35)</f>
        <v>196.5</v>
      </c>
      <c r="F33" s="34">
        <f>IF(settings!$G$4=0,'Student Enrollment Data'!BB35,'Student Enrollment Data'!CO35)</f>
        <v>217</v>
      </c>
      <c r="G33" s="34">
        <f t="shared" si="0"/>
        <v>1</v>
      </c>
      <c r="H33" s="34">
        <f t="shared" si="1"/>
        <v>1</v>
      </c>
      <c r="I33" s="34">
        <f t="shared" si="2"/>
        <v>1</v>
      </c>
      <c r="J33" s="36">
        <f t="shared" si="3"/>
        <v>1.4247727272727273</v>
      </c>
      <c r="K33" s="36">
        <f t="shared" si="4"/>
        <v>1.7881034482758622</v>
      </c>
      <c r="L33" s="36">
        <f t="shared" si="5"/>
        <v>1.2123863636363637</v>
      </c>
      <c r="M33" s="36">
        <f t="shared" si="6"/>
        <v>1.6571551724137932</v>
      </c>
      <c r="N33" s="36">
        <f t="shared" si="7"/>
        <v>279.96784090909091</v>
      </c>
      <c r="O33" s="36">
        <f t="shared" si="8"/>
        <v>388.01844827586211</v>
      </c>
      <c r="P33" s="36">
        <f t="shared" si="9"/>
        <v>667.98628918495297</v>
      </c>
      <c r="Q33" s="36">
        <f t="shared" si="10"/>
        <v>238.23392045454545</v>
      </c>
      <c r="R33" s="36">
        <f t="shared" si="11"/>
        <v>359.60267241379313</v>
      </c>
      <c r="S33" s="37">
        <f t="shared" si="12"/>
        <v>597.83659286833858</v>
      </c>
      <c r="T33">
        <f t="shared" si="13"/>
        <v>667.98628918495297</v>
      </c>
      <c r="U33">
        <f t="shared" si="14"/>
        <v>597.83659286833858</v>
      </c>
      <c r="V33">
        <f>IF(AND(settings!$D$4=0,settings!$D$7=0),'Small Dist Weight'!P33,IF(AND(settings!$D$4=0,settings!$D$7=1),T33,IF(AND(settings!$D$4=1,settings!$D$7=0),S33,U33)))</f>
        <v>597.83659286833858</v>
      </c>
    </row>
    <row r="34" spans="1:22">
      <c r="A34" t="str">
        <f>'Student Enrollment Data'!A36</f>
        <v>136</v>
      </c>
      <c r="B34">
        <f>'Student Enrollment Data'!B36</f>
        <v>136</v>
      </c>
      <c r="C34" t="str">
        <f>'Student Enrollment Data'!C36</f>
        <v>Melba Joint School District # 136</v>
      </c>
      <c r="D34">
        <v>0</v>
      </c>
      <c r="E34" s="34">
        <f>IF(settings!$G$4=0,'Student Enrollment Data'!BA36,'Student Enrollment Data'!CN36)</f>
        <v>404</v>
      </c>
      <c r="F34" s="34">
        <f>IF(settings!$G$4=0,'Student Enrollment Data'!BB36,'Student Enrollment Data'!CO36)</f>
        <v>433</v>
      </c>
      <c r="G34" s="34">
        <f t="shared" si="0"/>
        <v>0</v>
      </c>
      <c r="H34" s="34">
        <f t="shared" si="1"/>
        <v>1</v>
      </c>
      <c r="I34" s="34">
        <f t="shared" si="2"/>
        <v>0</v>
      </c>
      <c r="J34" s="36" t="str">
        <f t="shared" si="3"/>
        <v/>
      </c>
      <c r="K34" s="36">
        <f t="shared" si="4"/>
        <v>1.5274137931034484</v>
      </c>
      <c r="L34" s="36">
        <f t="shared" si="5"/>
        <v>0</v>
      </c>
      <c r="M34" s="36">
        <f t="shared" si="6"/>
        <v>1.2661206896551724</v>
      </c>
      <c r="N34" s="36">
        <f t="shared" si="7"/>
        <v>404</v>
      </c>
      <c r="O34" s="36">
        <f t="shared" si="8"/>
        <v>661.37017241379317</v>
      </c>
      <c r="P34" s="36">
        <f t="shared" si="9"/>
        <v>1065.3701724137932</v>
      </c>
      <c r="Q34" s="36">
        <f t="shared" si="10"/>
        <v>404</v>
      </c>
      <c r="R34" s="36">
        <f t="shared" si="11"/>
        <v>548.23025862068971</v>
      </c>
      <c r="S34" s="37">
        <f t="shared" si="12"/>
        <v>952.23025862068971</v>
      </c>
      <c r="T34">
        <f t="shared" si="13"/>
        <v>1065.3701724137932</v>
      </c>
      <c r="U34">
        <f t="shared" si="14"/>
        <v>952.23025862068971</v>
      </c>
      <c r="V34">
        <f>IF(AND(settings!$D$4=0,settings!$D$7=0),'Small Dist Weight'!P34,IF(AND(settings!$D$4=0,settings!$D$7=1),T34,IF(AND(settings!$D$4=1,settings!$D$7=0),S34,U34)))</f>
        <v>952.23025862068971</v>
      </c>
    </row>
    <row r="35" spans="1:22">
      <c r="A35" t="str">
        <f>'Student Enrollment Data'!A37</f>
        <v>137</v>
      </c>
      <c r="B35">
        <f>'Student Enrollment Data'!B37</f>
        <v>137</v>
      </c>
      <c r="C35" t="str">
        <f>'Student Enrollment Data'!C37</f>
        <v>Parma School District # 137</v>
      </c>
      <c r="D35">
        <v>0</v>
      </c>
      <c r="E35" s="34">
        <f>IF(settings!$G$4=0,'Student Enrollment Data'!BA37,'Student Enrollment Data'!CN37)</f>
        <v>526</v>
      </c>
      <c r="F35" s="34">
        <f>IF(settings!$G$4=0,'Student Enrollment Data'!BB37,'Student Enrollment Data'!CO37)</f>
        <v>505</v>
      </c>
      <c r="G35" s="34">
        <f t="shared" si="0"/>
        <v>0</v>
      </c>
      <c r="H35" s="34">
        <f t="shared" si="1"/>
        <v>1</v>
      </c>
      <c r="I35" s="34">
        <f t="shared" si="2"/>
        <v>0</v>
      </c>
      <c r="J35" s="36" t="str">
        <f t="shared" si="3"/>
        <v/>
      </c>
      <c r="K35" s="36">
        <f t="shared" si="4"/>
        <v>1.4405172413793104</v>
      </c>
      <c r="L35" s="36">
        <f t="shared" si="5"/>
        <v>0</v>
      </c>
      <c r="M35" s="36">
        <f t="shared" si="6"/>
        <v>1.2202586206896553</v>
      </c>
      <c r="N35" s="36">
        <f t="shared" si="7"/>
        <v>526</v>
      </c>
      <c r="O35" s="36">
        <f t="shared" si="8"/>
        <v>727.46120689655174</v>
      </c>
      <c r="P35" s="36">
        <f t="shared" si="9"/>
        <v>1253.4612068965516</v>
      </c>
      <c r="Q35" s="36">
        <f t="shared" si="10"/>
        <v>526</v>
      </c>
      <c r="R35" s="36">
        <f t="shared" si="11"/>
        <v>616.23060344827593</v>
      </c>
      <c r="S35" s="37">
        <f t="shared" si="12"/>
        <v>1142.2306034482758</v>
      </c>
      <c r="T35">
        <f t="shared" si="13"/>
        <v>1253.4612068965516</v>
      </c>
      <c r="U35">
        <f t="shared" si="14"/>
        <v>1142.2306034482758</v>
      </c>
      <c r="V35">
        <f>IF(AND(settings!$D$4=0,settings!$D$7=0),'Small Dist Weight'!P35,IF(AND(settings!$D$4=0,settings!$D$7=1),T35,IF(AND(settings!$D$4=1,settings!$D$7=0),S35,U35)))</f>
        <v>1142.2306034482758</v>
      </c>
    </row>
    <row r="36" spans="1:22">
      <c r="A36" t="str">
        <f>'Student Enrollment Data'!A38</f>
        <v>139</v>
      </c>
      <c r="B36">
        <f>'Student Enrollment Data'!B38</f>
        <v>139</v>
      </c>
      <c r="C36" t="str">
        <f>'Student Enrollment Data'!C38</f>
        <v>Vallivue School District # 139</v>
      </c>
      <c r="D36">
        <v>0</v>
      </c>
      <c r="E36" s="34">
        <f>IF(settings!$G$4=0,'Student Enrollment Data'!BA38,'Student Enrollment Data'!CN38)</f>
        <v>4628.9443627450983</v>
      </c>
      <c r="F36" s="34">
        <f>IF(settings!$G$4=0,'Student Enrollment Data'!BB38,'Student Enrollment Data'!CO38)</f>
        <v>4060.2210784313725</v>
      </c>
      <c r="G36" s="34">
        <f t="shared" si="0"/>
        <v>0</v>
      </c>
      <c r="H36" s="34">
        <f t="shared" si="1"/>
        <v>0</v>
      </c>
      <c r="I36" s="34">
        <f t="shared" si="2"/>
        <v>0</v>
      </c>
      <c r="J36" s="36" t="str">
        <f t="shared" si="3"/>
        <v/>
      </c>
      <c r="K36" s="36" t="str">
        <f t="shared" si="4"/>
        <v/>
      </c>
      <c r="L36" s="36">
        <f t="shared" si="5"/>
        <v>0</v>
      </c>
      <c r="M36" s="36">
        <f t="shared" si="6"/>
        <v>0</v>
      </c>
      <c r="N36" s="36">
        <f t="shared" si="7"/>
        <v>4628.9443627450983</v>
      </c>
      <c r="O36" s="36">
        <f t="shared" si="8"/>
        <v>4060.2210784313725</v>
      </c>
      <c r="P36" s="36">
        <f t="shared" si="9"/>
        <v>8689.1654411764703</v>
      </c>
      <c r="Q36" s="36">
        <f t="shared" si="10"/>
        <v>4628.9443627450983</v>
      </c>
      <c r="R36" s="36">
        <f t="shared" si="11"/>
        <v>4060.2210784313725</v>
      </c>
      <c r="S36" s="37">
        <f t="shared" si="12"/>
        <v>8689.1654411764703</v>
      </c>
      <c r="T36">
        <f t="shared" si="13"/>
        <v>8689.1654411764703</v>
      </c>
      <c r="U36">
        <f t="shared" si="14"/>
        <v>8689.1654411764703</v>
      </c>
      <c r="V36">
        <f>IF(AND(settings!$D$4=0,settings!$D$7=0),'Small Dist Weight'!P36,IF(AND(settings!$D$4=0,settings!$D$7=1),T36,IF(AND(settings!$D$4=1,settings!$D$7=0),S36,U36)))</f>
        <v>8689.1654411764703</v>
      </c>
    </row>
    <row r="37" spans="1:22">
      <c r="A37" t="str">
        <f>'Student Enrollment Data'!A39</f>
        <v>148</v>
      </c>
      <c r="B37">
        <f>'Student Enrollment Data'!B39</f>
        <v>148</v>
      </c>
      <c r="C37" t="str">
        <f>'Student Enrollment Data'!C39</f>
        <v>Grace Joint School District # 148</v>
      </c>
      <c r="D37">
        <v>0</v>
      </c>
      <c r="E37" s="34">
        <f>IF(settings!$G$4=0,'Student Enrollment Data'!BA39,'Student Enrollment Data'!CN39)</f>
        <v>271.5</v>
      </c>
      <c r="F37" s="34">
        <f>IF(settings!$G$4=0,'Student Enrollment Data'!BB39,'Student Enrollment Data'!CO39)</f>
        <v>231</v>
      </c>
      <c r="G37" s="34">
        <f t="shared" si="0"/>
        <v>1</v>
      </c>
      <c r="H37" s="34">
        <f t="shared" si="1"/>
        <v>1</v>
      </c>
      <c r="I37" s="34">
        <f t="shared" si="2"/>
        <v>1</v>
      </c>
      <c r="J37" s="36">
        <f t="shared" si="3"/>
        <v>1.1861363636363635</v>
      </c>
      <c r="K37" s="36">
        <f t="shared" si="4"/>
        <v>1.7712068965517243</v>
      </c>
      <c r="L37" s="36">
        <f t="shared" si="5"/>
        <v>1.093068181818182</v>
      </c>
      <c r="M37" s="36">
        <f t="shared" si="6"/>
        <v>1.6318103448275862</v>
      </c>
      <c r="N37" s="36">
        <f t="shared" si="7"/>
        <v>322.03602272727272</v>
      </c>
      <c r="O37" s="36">
        <f t="shared" si="8"/>
        <v>409.14879310344833</v>
      </c>
      <c r="P37" s="36">
        <f t="shared" si="9"/>
        <v>731.18481583072105</v>
      </c>
      <c r="Q37" s="36">
        <f t="shared" si="10"/>
        <v>296.76801136363639</v>
      </c>
      <c r="R37" s="36">
        <f t="shared" si="11"/>
        <v>376.94818965517243</v>
      </c>
      <c r="S37" s="37">
        <f t="shared" si="12"/>
        <v>673.71620101880876</v>
      </c>
      <c r="T37">
        <f t="shared" si="13"/>
        <v>731.18481583072105</v>
      </c>
      <c r="U37">
        <f t="shared" si="14"/>
        <v>673.71620101880876</v>
      </c>
      <c r="V37">
        <f>IF(AND(settings!$D$4=0,settings!$D$7=0),'Small Dist Weight'!P37,IF(AND(settings!$D$4=0,settings!$D$7=1),T37,IF(AND(settings!$D$4=1,settings!$D$7=0),S37,U37)))</f>
        <v>673.71620101880876</v>
      </c>
    </row>
    <row r="38" spans="1:22" s="27" customFormat="1">
      <c r="A38" s="27" t="str">
        <f>'Student Enrollment Data'!A40</f>
        <v>149</v>
      </c>
      <c r="B38" s="27">
        <f>'Student Enrollment Data'!B40</f>
        <v>149</v>
      </c>
      <c r="C38" s="27" t="str">
        <f>'Student Enrollment Data'!C40</f>
        <v>North Gem School District # 149</v>
      </c>
      <c r="D38" s="27">
        <v>0</v>
      </c>
      <c r="E38" s="134">
        <f>IF(settings!$G$4=0,'Student Enrollment Data'!BA40,'Student Enrollment Data'!CN40)</f>
        <v>76</v>
      </c>
      <c r="F38" s="134">
        <f>IF(settings!$G$4=0,'Student Enrollment Data'!BB40,'Student Enrollment Data'!CO40)</f>
        <v>100</v>
      </c>
      <c r="G38" s="134">
        <f t="shared" si="0"/>
        <v>1</v>
      </c>
      <c r="H38" s="134">
        <f t="shared" si="1"/>
        <v>1</v>
      </c>
      <c r="I38" s="134">
        <f t="shared" si="2"/>
        <v>1</v>
      </c>
      <c r="J38" s="135">
        <f t="shared" si="3"/>
        <v>1.8081818181818181</v>
      </c>
      <c r="K38" s="135">
        <f t="shared" si="4"/>
        <v>1.9293103448275861</v>
      </c>
      <c r="L38" s="135">
        <f t="shared" si="5"/>
        <v>1.6872727272727273</v>
      </c>
      <c r="M38" s="135">
        <f t="shared" si="6"/>
        <v>1.8689655172413793</v>
      </c>
      <c r="N38" s="135">
        <f t="shared" si="7"/>
        <v>137.42181818181817</v>
      </c>
      <c r="O38" s="135">
        <f t="shared" si="8"/>
        <v>192.93103448275861</v>
      </c>
      <c r="P38" s="135">
        <f t="shared" si="9"/>
        <v>330.35285266457674</v>
      </c>
      <c r="Q38" s="135">
        <f t="shared" si="10"/>
        <v>128.23272727272726</v>
      </c>
      <c r="R38" s="135">
        <f t="shared" si="11"/>
        <v>186.89655172413794</v>
      </c>
      <c r="S38" s="136">
        <f t="shared" si="12"/>
        <v>315.1292789968652</v>
      </c>
      <c r="T38" s="27">
        <f t="shared" si="13"/>
        <v>330.35285266457674</v>
      </c>
      <c r="U38" s="27">
        <f t="shared" si="14"/>
        <v>315.1292789968652</v>
      </c>
      <c r="V38" s="27">
        <f>IF(AND(settings!$D$4=0,settings!$D$7=0),'Small Dist Weight'!P38,IF(AND(settings!$D$4=0,settings!$D$7=1),T38,IF(AND(settings!$D$4=1,settings!$D$7=0),S38,U38)))</f>
        <v>315.1292789968652</v>
      </c>
    </row>
    <row r="39" spans="1:22">
      <c r="A39" t="str">
        <f>'Student Enrollment Data'!A41</f>
        <v>150</v>
      </c>
      <c r="B39">
        <f>'Student Enrollment Data'!B41</f>
        <v>150</v>
      </c>
      <c r="C39" t="str">
        <f>'Student Enrollment Data'!C41</f>
        <v>Soda Springs Joint School District # 150</v>
      </c>
      <c r="D39">
        <v>0</v>
      </c>
      <c r="E39" s="34">
        <f>IF(settings!$G$4=0,'Student Enrollment Data'!BA41,'Student Enrollment Data'!CN41)</f>
        <v>462</v>
      </c>
      <c r="F39" s="34">
        <f>IF(settings!$G$4=0,'Student Enrollment Data'!BB41,'Student Enrollment Data'!CO41)</f>
        <v>389</v>
      </c>
      <c r="G39" s="34">
        <f t="shared" si="0"/>
        <v>0</v>
      </c>
      <c r="H39" s="34">
        <f t="shared" si="1"/>
        <v>1</v>
      </c>
      <c r="I39" s="34">
        <f t="shared" si="2"/>
        <v>0</v>
      </c>
      <c r="J39" s="36" t="str">
        <f t="shared" si="3"/>
        <v/>
      </c>
      <c r="K39" s="36">
        <f t="shared" si="4"/>
        <v>1.5805172413793103</v>
      </c>
      <c r="L39" s="36">
        <f t="shared" si="5"/>
        <v>0</v>
      </c>
      <c r="M39" s="36">
        <f t="shared" si="6"/>
        <v>1.3457758620689655</v>
      </c>
      <c r="N39" s="36">
        <f t="shared" si="7"/>
        <v>462</v>
      </c>
      <c r="O39" s="36">
        <f t="shared" si="8"/>
        <v>614.82120689655164</v>
      </c>
      <c r="P39" s="36">
        <f t="shared" si="9"/>
        <v>1076.8212068965518</v>
      </c>
      <c r="Q39" s="36">
        <f t="shared" si="10"/>
        <v>462</v>
      </c>
      <c r="R39" s="36">
        <f t="shared" si="11"/>
        <v>523.50681034482761</v>
      </c>
      <c r="S39" s="37">
        <f t="shared" si="12"/>
        <v>985.50681034482761</v>
      </c>
      <c r="T39">
        <f t="shared" si="13"/>
        <v>1076.8212068965518</v>
      </c>
      <c r="U39">
        <f t="shared" si="14"/>
        <v>985.50681034482761</v>
      </c>
      <c r="V39">
        <f>IF(AND(settings!$D$4=0,settings!$D$7=0),'Small Dist Weight'!P39,IF(AND(settings!$D$4=0,settings!$D$7=1),T39,IF(AND(settings!$D$4=1,settings!$D$7=0),S39,U39)))</f>
        <v>985.50681034482761</v>
      </c>
    </row>
    <row r="40" spans="1:22">
      <c r="A40" t="str">
        <f>'Student Enrollment Data'!A42</f>
        <v>151</v>
      </c>
      <c r="B40">
        <f>'Student Enrollment Data'!B42</f>
        <v>151</v>
      </c>
      <c r="C40" t="str">
        <f>'Student Enrollment Data'!C42</f>
        <v>Cassia County Joint School District # 151</v>
      </c>
      <c r="D40">
        <v>0</v>
      </c>
      <c r="E40" s="34">
        <f>IF(settings!$G$4=0,'Student Enrollment Data'!BA42,'Student Enrollment Data'!CN42)</f>
        <v>2752</v>
      </c>
      <c r="F40" s="34">
        <f>IF(settings!$G$4=0,'Student Enrollment Data'!BB42,'Student Enrollment Data'!CO42)</f>
        <v>2493.4730392156862</v>
      </c>
      <c r="G40" s="34">
        <f t="shared" si="0"/>
        <v>0</v>
      </c>
      <c r="H40" s="34">
        <f t="shared" si="1"/>
        <v>0</v>
      </c>
      <c r="I40" s="34">
        <f t="shared" si="2"/>
        <v>0</v>
      </c>
      <c r="J40" s="36" t="str">
        <f t="shared" si="3"/>
        <v/>
      </c>
      <c r="K40" s="36" t="str">
        <f t="shared" si="4"/>
        <v/>
      </c>
      <c r="L40" s="36">
        <f t="shared" si="5"/>
        <v>0</v>
      </c>
      <c r="M40" s="36">
        <f t="shared" si="6"/>
        <v>0</v>
      </c>
      <c r="N40" s="36">
        <f t="shared" si="7"/>
        <v>2752</v>
      </c>
      <c r="O40" s="36">
        <f t="shared" si="8"/>
        <v>2493.4730392156862</v>
      </c>
      <c r="P40" s="36">
        <f t="shared" si="9"/>
        <v>5245.4730392156862</v>
      </c>
      <c r="Q40" s="36">
        <f t="shared" si="10"/>
        <v>2752</v>
      </c>
      <c r="R40" s="36">
        <f t="shared" si="11"/>
        <v>2493.4730392156862</v>
      </c>
      <c r="S40" s="37">
        <f t="shared" si="12"/>
        <v>5245.4730392156862</v>
      </c>
      <c r="T40">
        <f t="shared" si="13"/>
        <v>5245.4730392156862</v>
      </c>
      <c r="U40">
        <f t="shared" si="14"/>
        <v>5245.4730392156862</v>
      </c>
      <c r="V40">
        <f>IF(AND(settings!$D$4=0,settings!$D$7=0),'Small Dist Weight'!P40,IF(AND(settings!$D$4=0,settings!$D$7=1),T40,IF(AND(settings!$D$4=1,settings!$D$7=0),S40,U40)))</f>
        <v>5245.4730392156862</v>
      </c>
    </row>
    <row r="41" spans="1:22">
      <c r="A41" t="str">
        <f>'Student Enrollment Data'!A43</f>
        <v>161</v>
      </c>
      <c r="B41">
        <f>'Student Enrollment Data'!B43</f>
        <v>161</v>
      </c>
      <c r="C41" t="str">
        <f>'Student Enrollment Data'!C43</f>
        <v>Clark County Joint School District # 161</v>
      </c>
      <c r="D41">
        <v>0</v>
      </c>
      <c r="E41" s="34">
        <f>IF(settings!$G$4=0,'Student Enrollment Data'!BA43,'Student Enrollment Data'!CN43)</f>
        <v>54</v>
      </c>
      <c r="F41" s="34">
        <f>IF(settings!$G$4=0,'Student Enrollment Data'!BB43,'Student Enrollment Data'!CO43)</f>
        <v>100</v>
      </c>
      <c r="G41" s="34">
        <f t="shared" si="0"/>
        <v>1</v>
      </c>
      <c r="H41" s="34">
        <f t="shared" si="1"/>
        <v>1</v>
      </c>
      <c r="I41" s="34">
        <f t="shared" si="2"/>
        <v>1</v>
      </c>
      <c r="J41" s="36">
        <f t="shared" si="3"/>
        <v>1.8781818181818182</v>
      </c>
      <c r="K41" s="36">
        <f t="shared" si="4"/>
        <v>1.9293103448275861</v>
      </c>
      <c r="L41" s="36">
        <f t="shared" si="5"/>
        <v>1.7922727272727272</v>
      </c>
      <c r="M41" s="36">
        <f t="shared" si="6"/>
        <v>1.8689655172413793</v>
      </c>
      <c r="N41" s="36">
        <f t="shared" si="7"/>
        <v>101.42181818181818</v>
      </c>
      <c r="O41" s="36">
        <f t="shared" si="8"/>
        <v>192.93103448275861</v>
      </c>
      <c r="P41" s="36">
        <f t="shared" si="9"/>
        <v>294.3528526645768</v>
      </c>
      <c r="Q41" s="36">
        <f t="shared" si="10"/>
        <v>96.782727272727271</v>
      </c>
      <c r="R41" s="36">
        <f t="shared" si="11"/>
        <v>186.89655172413794</v>
      </c>
      <c r="S41" s="37">
        <f t="shared" si="12"/>
        <v>283.67927899686521</v>
      </c>
      <c r="T41">
        <f t="shared" si="13"/>
        <v>294.3528526645768</v>
      </c>
      <c r="U41">
        <f t="shared" si="14"/>
        <v>283.67927899686521</v>
      </c>
      <c r="V41">
        <f>IF(AND(settings!$D$4=0,settings!$D$7=0),'Small Dist Weight'!P41,IF(AND(settings!$D$4=0,settings!$D$7=1),T41,IF(AND(settings!$D$4=1,settings!$D$7=0),S41,U41)))</f>
        <v>283.67927899686521</v>
      </c>
    </row>
    <row r="42" spans="1:22">
      <c r="A42" t="str">
        <f>'Student Enrollment Data'!A44</f>
        <v>171</v>
      </c>
      <c r="B42">
        <f>'Student Enrollment Data'!B44</f>
        <v>171</v>
      </c>
      <c r="C42" t="str">
        <f>'Student Enrollment Data'!C44</f>
        <v>Orofino Joint School District # 171</v>
      </c>
      <c r="D42">
        <v>0</v>
      </c>
      <c r="E42" s="34">
        <f>IF(settings!$G$4=0,'Student Enrollment Data'!BA44,'Student Enrollment Data'!CN44)</f>
        <v>514</v>
      </c>
      <c r="F42" s="34">
        <f>IF(settings!$G$4=0,'Student Enrollment Data'!BB44,'Student Enrollment Data'!CO44)</f>
        <v>473</v>
      </c>
      <c r="G42" s="34">
        <f t="shared" si="0"/>
        <v>0</v>
      </c>
      <c r="H42" s="34">
        <f t="shared" si="1"/>
        <v>1</v>
      </c>
      <c r="I42" s="34">
        <f t="shared" si="2"/>
        <v>0</v>
      </c>
      <c r="J42" s="36" t="str">
        <f t="shared" si="3"/>
        <v/>
      </c>
      <c r="K42" s="36">
        <f t="shared" si="4"/>
        <v>1.4791379310344828</v>
      </c>
      <c r="L42" s="36">
        <f t="shared" si="5"/>
        <v>0</v>
      </c>
      <c r="M42" s="36">
        <f t="shared" si="6"/>
        <v>1.2395689655172415</v>
      </c>
      <c r="N42" s="36">
        <f t="shared" si="7"/>
        <v>514</v>
      </c>
      <c r="O42" s="36">
        <f t="shared" si="8"/>
        <v>699.63224137931036</v>
      </c>
      <c r="P42" s="36">
        <f t="shared" si="9"/>
        <v>1213.6322413793105</v>
      </c>
      <c r="Q42" s="36">
        <f t="shared" si="10"/>
        <v>514</v>
      </c>
      <c r="R42" s="36">
        <f t="shared" si="11"/>
        <v>586.31612068965524</v>
      </c>
      <c r="S42" s="37">
        <f t="shared" si="12"/>
        <v>1100.3161206896552</v>
      </c>
      <c r="T42">
        <f t="shared" si="13"/>
        <v>1213.6322413793105</v>
      </c>
      <c r="U42">
        <f t="shared" si="14"/>
        <v>1100.3161206896552</v>
      </c>
      <c r="V42">
        <f>IF(AND(settings!$D$4=0,settings!$D$7=0),'Small Dist Weight'!P42,IF(AND(settings!$D$4=0,settings!$D$7=1),T42,IF(AND(settings!$D$4=1,settings!$D$7=0),S42,U42)))</f>
        <v>1100.3161206896552</v>
      </c>
    </row>
    <row r="43" spans="1:22">
      <c r="A43" t="str">
        <f>'Student Enrollment Data'!A45</f>
        <v>181</v>
      </c>
      <c r="B43">
        <f>'Student Enrollment Data'!B45</f>
        <v>181</v>
      </c>
      <c r="C43" t="str">
        <f>'Student Enrollment Data'!C45</f>
        <v>Challis Joint School District # 181</v>
      </c>
      <c r="D43">
        <v>0</v>
      </c>
      <c r="E43" s="34">
        <f>IF(settings!$G$4=0,'Student Enrollment Data'!BA45,'Student Enrollment Data'!CN45)</f>
        <v>162.5</v>
      </c>
      <c r="F43" s="34">
        <f>IF(settings!$G$4=0,'Student Enrollment Data'!BB45,'Student Enrollment Data'!CO45)</f>
        <v>175</v>
      </c>
      <c r="G43" s="34">
        <f t="shared" si="0"/>
        <v>1</v>
      </c>
      <c r="H43" s="34">
        <f t="shared" si="1"/>
        <v>1</v>
      </c>
      <c r="I43" s="34">
        <f t="shared" si="2"/>
        <v>1</v>
      </c>
      <c r="J43" s="36">
        <f t="shared" si="3"/>
        <v>1.5329545454545455</v>
      </c>
      <c r="K43" s="36">
        <f t="shared" si="4"/>
        <v>1.8387931034482758</v>
      </c>
      <c r="L43" s="36">
        <f t="shared" si="5"/>
        <v>1.2744318181818182</v>
      </c>
      <c r="M43" s="36">
        <f t="shared" si="6"/>
        <v>1.7331896551724137</v>
      </c>
      <c r="N43" s="36">
        <f t="shared" si="7"/>
        <v>249.10511363636363</v>
      </c>
      <c r="O43" s="36">
        <f t="shared" si="8"/>
        <v>321.78879310344826</v>
      </c>
      <c r="P43" s="36">
        <f t="shared" si="9"/>
        <v>570.89390673981188</v>
      </c>
      <c r="Q43" s="36">
        <f t="shared" si="10"/>
        <v>207.09517045454544</v>
      </c>
      <c r="R43" s="36">
        <f t="shared" si="11"/>
        <v>303.30818965517238</v>
      </c>
      <c r="S43" s="37">
        <f t="shared" si="12"/>
        <v>510.40336010971782</v>
      </c>
      <c r="T43">
        <f t="shared" si="13"/>
        <v>570.89390673981188</v>
      </c>
      <c r="U43">
        <f t="shared" si="14"/>
        <v>510.40336010971782</v>
      </c>
      <c r="V43">
        <f>IF(AND(settings!$D$4=0,settings!$D$7=0),'Small Dist Weight'!P43,IF(AND(settings!$D$4=0,settings!$D$7=1),T43,IF(AND(settings!$D$4=1,settings!$D$7=0),S43,U43)))</f>
        <v>510.40336010971782</v>
      </c>
    </row>
    <row r="44" spans="1:22">
      <c r="A44" t="str">
        <f>'Student Enrollment Data'!A46</f>
        <v>182</v>
      </c>
      <c r="B44">
        <f>'Student Enrollment Data'!B46</f>
        <v>182</v>
      </c>
      <c r="C44" t="str">
        <f>'Student Enrollment Data'!C46</f>
        <v>Mackay Joint School District # 182</v>
      </c>
      <c r="D44">
        <v>0</v>
      </c>
      <c r="E44" s="34">
        <f>IF(settings!$G$4=0,'Student Enrollment Data'!BA46,'Student Enrollment Data'!CN46)</f>
        <v>115</v>
      </c>
      <c r="F44" s="34">
        <f>IF(settings!$G$4=0,'Student Enrollment Data'!BB46,'Student Enrollment Data'!CO46)</f>
        <v>100</v>
      </c>
      <c r="G44" s="34">
        <f t="shared" si="0"/>
        <v>1</v>
      </c>
      <c r="H44" s="34">
        <f t="shared" si="1"/>
        <v>1</v>
      </c>
      <c r="I44" s="34">
        <f t="shared" si="2"/>
        <v>1</v>
      </c>
      <c r="J44" s="36">
        <f t="shared" si="3"/>
        <v>1.6840909090909091</v>
      </c>
      <c r="K44" s="36">
        <f t="shared" si="4"/>
        <v>1.9293103448275861</v>
      </c>
      <c r="L44" s="36">
        <f t="shared" si="5"/>
        <v>1.5011363636363635</v>
      </c>
      <c r="M44" s="36">
        <f t="shared" si="6"/>
        <v>1.8689655172413793</v>
      </c>
      <c r="N44" s="36">
        <f t="shared" si="7"/>
        <v>193.67045454545453</v>
      </c>
      <c r="O44" s="36">
        <f t="shared" si="8"/>
        <v>192.93103448275861</v>
      </c>
      <c r="P44" s="36">
        <f t="shared" si="9"/>
        <v>386.60148902821311</v>
      </c>
      <c r="Q44" s="36">
        <f t="shared" si="10"/>
        <v>172.63068181818181</v>
      </c>
      <c r="R44" s="36">
        <f t="shared" si="11"/>
        <v>186.89655172413794</v>
      </c>
      <c r="S44" s="37">
        <f t="shared" si="12"/>
        <v>359.52723354231978</v>
      </c>
      <c r="T44">
        <f t="shared" si="13"/>
        <v>386.60148902821311</v>
      </c>
      <c r="U44">
        <f t="shared" si="14"/>
        <v>359.52723354231978</v>
      </c>
      <c r="V44">
        <f>IF(AND(settings!$D$4=0,settings!$D$7=0),'Small Dist Weight'!P44,IF(AND(settings!$D$4=0,settings!$D$7=1),T44,IF(AND(settings!$D$4=1,settings!$D$7=0),S44,U44)))</f>
        <v>359.52723354231978</v>
      </c>
    </row>
    <row r="45" spans="1:22">
      <c r="A45" t="str">
        <f>'Student Enrollment Data'!A47</f>
        <v>191</v>
      </c>
      <c r="B45">
        <f>'Student Enrollment Data'!B47</f>
        <v>191</v>
      </c>
      <c r="C45" t="str">
        <f>'Student Enrollment Data'!C47</f>
        <v>Prairie Elementary School District # 191</v>
      </c>
      <c r="D45">
        <v>0</v>
      </c>
      <c r="E45" s="34">
        <f>IF(settings!$G$4=0,'Student Enrollment Data'!BA47,'Student Enrollment Data'!CN47)</f>
        <v>2</v>
      </c>
      <c r="F45" s="34">
        <f>IF(settings!$G$4=0,'Student Enrollment Data'!BB47,'Student Enrollment Data'!CO47)</f>
        <v>0</v>
      </c>
      <c r="G45" s="34">
        <f t="shared" si="0"/>
        <v>1</v>
      </c>
      <c r="H45" s="34">
        <f t="shared" si="1"/>
        <v>1</v>
      </c>
      <c r="I45" s="34">
        <f t="shared" si="2"/>
        <v>1</v>
      </c>
      <c r="J45" s="36">
        <f t="shared" si="3"/>
        <v>2.0499999999999998</v>
      </c>
      <c r="K45" s="36">
        <f t="shared" si="4"/>
        <v>2.0499999999999998</v>
      </c>
      <c r="L45" s="36">
        <f t="shared" si="5"/>
        <v>2.0499999999999998</v>
      </c>
      <c r="M45" s="36">
        <f t="shared" si="6"/>
        <v>2.0499999999999998</v>
      </c>
      <c r="N45" s="36">
        <f t="shared" si="7"/>
        <v>4.0999999999999996</v>
      </c>
      <c r="O45" s="36">
        <f t="shared" si="8"/>
        <v>0</v>
      </c>
      <c r="P45" s="36">
        <f t="shared" si="9"/>
        <v>4.0999999999999996</v>
      </c>
      <c r="Q45" s="36">
        <f t="shared" si="10"/>
        <v>4.0999999999999996</v>
      </c>
      <c r="R45" s="36">
        <f t="shared" si="11"/>
        <v>0</v>
      </c>
      <c r="S45" s="37">
        <f t="shared" si="12"/>
        <v>4.0999999999999996</v>
      </c>
      <c r="T45">
        <f t="shared" si="13"/>
        <v>4.0999999999999996</v>
      </c>
      <c r="U45">
        <f t="shared" si="14"/>
        <v>4.0999999999999996</v>
      </c>
      <c r="V45">
        <f>IF(AND(settings!$D$4=0,settings!$D$7=0),'Small Dist Weight'!P45,IF(AND(settings!$D$4=0,settings!$D$7=1),T45,IF(AND(settings!$D$4=1,settings!$D$7=0),S45,U45)))</f>
        <v>4.0999999999999996</v>
      </c>
    </row>
    <row r="46" spans="1:22">
      <c r="A46" t="str">
        <f>'Student Enrollment Data'!A48</f>
        <v>192</v>
      </c>
      <c r="B46">
        <f>'Student Enrollment Data'!B48</f>
        <v>192</v>
      </c>
      <c r="C46" t="str">
        <f>'Student Enrollment Data'!C48</f>
        <v>Glenns Ferry Joint School District # 192</v>
      </c>
      <c r="D46">
        <v>0</v>
      </c>
      <c r="E46" s="34">
        <f>IF(settings!$G$4=0,'Student Enrollment Data'!BA48,'Student Enrollment Data'!CN48)</f>
        <v>199.5</v>
      </c>
      <c r="F46" s="34">
        <f>IF(settings!$G$4=0,'Student Enrollment Data'!BB48,'Student Enrollment Data'!CO48)</f>
        <v>184</v>
      </c>
      <c r="G46" s="34">
        <f t="shared" si="0"/>
        <v>1</v>
      </c>
      <c r="H46" s="34">
        <f t="shared" si="1"/>
        <v>1</v>
      </c>
      <c r="I46" s="34">
        <f t="shared" si="2"/>
        <v>1</v>
      </c>
      <c r="J46" s="36">
        <f t="shared" si="3"/>
        <v>1.4152272727272728</v>
      </c>
      <c r="K46" s="36">
        <f t="shared" si="4"/>
        <v>1.8279310344827586</v>
      </c>
      <c r="L46" s="36">
        <f t="shared" si="5"/>
        <v>1.2076136363636365</v>
      </c>
      <c r="M46" s="36">
        <f t="shared" si="6"/>
        <v>1.7168965517241379</v>
      </c>
      <c r="N46" s="36">
        <f t="shared" si="7"/>
        <v>282.33784090909091</v>
      </c>
      <c r="O46" s="36">
        <f t="shared" si="8"/>
        <v>336.3393103448276</v>
      </c>
      <c r="P46" s="36">
        <f t="shared" si="9"/>
        <v>618.67715125391851</v>
      </c>
      <c r="Q46" s="36">
        <f t="shared" si="10"/>
        <v>240.91892045454549</v>
      </c>
      <c r="R46" s="36">
        <f t="shared" si="11"/>
        <v>315.90896551724137</v>
      </c>
      <c r="S46" s="37">
        <f t="shared" si="12"/>
        <v>556.82788597178683</v>
      </c>
      <c r="T46">
        <f t="shared" si="13"/>
        <v>618.67715125391851</v>
      </c>
      <c r="U46">
        <f t="shared" si="14"/>
        <v>556.82788597178683</v>
      </c>
      <c r="V46">
        <f>IF(AND(settings!$D$4=0,settings!$D$7=0),'Small Dist Weight'!P46,IF(AND(settings!$D$4=0,settings!$D$7=1),T46,IF(AND(settings!$D$4=1,settings!$D$7=0),S46,U46)))</f>
        <v>556.82788597178683</v>
      </c>
    </row>
    <row r="47" spans="1:22">
      <c r="A47" t="str">
        <f>'Student Enrollment Data'!A49</f>
        <v>193</v>
      </c>
      <c r="B47">
        <f>'Student Enrollment Data'!B49</f>
        <v>193</v>
      </c>
      <c r="C47" t="str">
        <f>'Student Enrollment Data'!C49</f>
        <v>Mountain Home School District # 193</v>
      </c>
      <c r="D47">
        <v>0</v>
      </c>
      <c r="E47" s="34">
        <f>IF(settings!$G$4=0,'Student Enrollment Data'!BA49,'Student Enrollment Data'!CN49)</f>
        <v>2047.5</v>
      </c>
      <c r="F47" s="34">
        <f>IF(settings!$G$4=0,'Student Enrollment Data'!BB49,'Student Enrollment Data'!CO49)</f>
        <v>1694.8647058823528</v>
      </c>
      <c r="G47" s="34">
        <f t="shared" si="0"/>
        <v>0</v>
      </c>
      <c r="H47" s="34">
        <f t="shared" si="1"/>
        <v>0</v>
      </c>
      <c r="I47" s="34">
        <f t="shared" si="2"/>
        <v>0</v>
      </c>
      <c r="J47" s="36" t="str">
        <f t="shared" si="3"/>
        <v/>
      </c>
      <c r="K47" s="36" t="str">
        <f t="shared" si="4"/>
        <v/>
      </c>
      <c r="L47" s="36">
        <f t="shared" si="5"/>
        <v>0</v>
      </c>
      <c r="M47" s="36">
        <f t="shared" si="6"/>
        <v>0</v>
      </c>
      <c r="N47" s="36">
        <f t="shared" si="7"/>
        <v>2047.5</v>
      </c>
      <c r="O47" s="36">
        <f t="shared" si="8"/>
        <v>1694.8647058823528</v>
      </c>
      <c r="P47" s="36">
        <f t="shared" si="9"/>
        <v>3742.3647058823526</v>
      </c>
      <c r="Q47" s="36">
        <f t="shared" si="10"/>
        <v>2047.5</v>
      </c>
      <c r="R47" s="36">
        <f t="shared" si="11"/>
        <v>1694.8647058823528</v>
      </c>
      <c r="S47" s="37">
        <f t="shared" si="12"/>
        <v>3742.3647058823526</v>
      </c>
      <c r="T47">
        <f t="shared" si="13"/>
        <v>3742.3647058823526</v>
      </c>
      <c r="U47">
        <f t="shared" si="14"/>
        <v>3742.3647058823526</v>
      </c>
      <c r="V47">
        <f>IF(AND(settings!$D$4=0,settings!$D$7=0),'Small Dist Weight'!P47,IF(AND(settings!$D$4=0,settings!$D$7=1),T47,IF(AND(settings!$D$4=1,settings!$D$7=0),S47,U47)))</f>
        <v>3742.3647058823526</v>
      </c>
    </row>
    <row r="48" spans="1:22">
      <c r="A48" t="str">
        <f>'Student Enrollment Data'!A50</f>
        <v>201</v>
      </c>
      <c r="B48">
        <f>'Student Enrollment Data'!B50</f>
        <v>201</v>
      </c>
      <c r="C48" t="str">
        <f>'Student Enrollment Data'!C50</f>
        <v>Preston Joint School District # 201</v>
      </c>
      <c r="D48">
        <v>0</v>
      </c>
      <c r="E48" s="34">
        <f>IF(settings!$G$4=0,'Student Enrollment Data'!BA50,'Student Enrollment Data'!CN50)</f>
        <v>1104.9950980392157</v>
      </c>
      <c r="F48" s="34">
        <f>IF(settings!$G$4=0,'Student Enrollment Data'!BB50,'Student Enrollment Data'!CO50)</f>
        <v>1150.1191176470588</v>
      </c>
      <c r="G48" s="34">
        <f t="shared" si="0"/>
        <v>0</v>
      </c>
      <c r="H48" s="34">
        <f t="shared" si="1"/>
        <v>0</v>
      </c>
      <c r="I48" s="34">
        <f t="shared" si="2"/>
        <v>0</v>
      </c>
      <c r="J48" s="36" t="str">
        <f t="shared" si="3"/>
        <v/>
      </c>
      <c r="K48" s="36" t="str">
        <f t="shared" si="4"/>
        <v/>
      </c>
      <c r="L48" s="36">
        <f t="shared" si="5"/>
        <v>0</v>
      </c>
      <c r="M48" s="36">
        <f t="shared" si="6"/>
        <v>0</v>
      </c>
      <c r="N48" s="36">
        <f t="shared" si="7"/>
        <v>1104.9950980392157</v>
      </c>
      <c r="O48" s="36">
        <f t="shared" si="8"/>
        <v>1150.1191176470588</v>
      </c>
      <c r="P48" s="36">
        <f t="shared" si="9"/>
        <v>2255.1142156862743</v>
      </c>
      <c r="Q48" s="36">
        <f t="shared" si="10"/>
        <v>1104.9950980392157</v>
      </c>
      <c r="R48" s="36">
        <f t="shared" si="11"/>
        <v>1150.1191176470588</v>
      </c>
      <c r="S48" s="37">
        <f t="shared" si="12"/>
        <v>2255.1142156862743</v>
      </c>
      <c r="T48">
        <f t="shared" si="13"/>
        <v>2255.1142156862743</v>
      </c>
      <c r="U48">
        <f t="shared" si="14"/>
        <v>2255.1142156862743</v>
      </c>
      <c r="V48">
        <f>IF(AND(settings!$D$4=0,settings!$D$7=0),'Small Dist Weight'!P48,IF(AND(settings!$D$4=0,settings!$D$7=1),T48,IF(AND(settings!$D$4=1,settings!$D$7=0),S48,U48)))</f>
        <v>2255.1142156862743</v>
      </c>
    </row>
    <row r="49" spans="1:22">
      <c r="A49" t="str">
        <f>'Student Enrollment Data'!A51</f>
        <v>202</v>
      </c>
      <c r="B49">
        <f>'Student Enrollment Data'!B51</f>
        <v>202</v>
      </c>
      <c r="C49" t="str">
        <f>'Student Enrollment Data'!C51</f>
        <v>West Side Joint School District # 202</v>
      </c>
      <c r="D49">
        <v>0</v>
      </c>
      <c r="E49" s="34">
        <f>IF(settings!$G$4=0,'Student Enrollment Data'!BA51,'Student Enrollment Data'!CN51)</f>
        <v>400</v>
      </c>
      <c r="F49" s="34">
        <f>IF(settings!$G$4=0,'Student Enrollment Data'!BB51,'Student Enrollment Data'!CO51)</f>
        <v>321</v>
      </c>
      <c r="G49" s="34">
        <f t="shared" si="0"/>
        <v>0</v>
      </c>
      <c r="H49" s="34">
        <f t="shared" si="1"/>
        <v>1</v>
      </c>
      <c r="I49" s="34">
        <f t="shared" si="2"/>
        <v>0</v>
      </c>
      <c r="J49" s="36" t="str">
        <f t="shared" si="3"/>
        <v/>
      </c>
      <c r="K49" s="36">
        <f t="shared" si="4"/>
        <v>1.6625862068965518</v>
      </c>
      <c r="L49" s="36">
        <f t="shared" si="5"/>
        <v>0</v>
      </c>
      <c r="M49" s="36">
        <f t="shared" si="6"/>
        <v>1.4688793103448274</v>
      </c>
      <c r="N49" s="36">
        <f t="shared" si="7"/>
        <v>400</v>
      </c>
      <c r="O49" s="36">
        <f t="shared" si="8"/>
        <v>533.69017241379311</v>
      </c>
      <c r="P49" s="36">
        <f t="shared" si="9"/>
        <v>933.69017241379311</v>
      </c>
      <c r="Q49" s="36">
        <f t="shared" si="10"/>
        <v>400</v>
      </c>
      <c r="R49" s="36">
        <f t="shared" si="11"/>
        <v>471.51025862068963</v>
      </c>
      <c r="S49" s="37">
        <f t="shared" si="12"/>
        <v>871.51025862068968</v>
      </c>
      <c r="T49">
        <f t="shared" si="13"/>
        <v>933.69017241379311</v>
      </c>
      <c r="U49">
        <f t="shared" si="14"/>
        <v>871.51025862068968</v>
      </c>
      <c r="V49">
        <f>IF(AND(settings!$D$4=0,settings!$D$7=0),'Small Dist Weight'!P49,IF(AND(settings!$D$4=0,settings!$D$7=1),T49,IF(AND(settings!$D$4=1,settings!$D$7=0),S49,U49)))</f>
        <v>871.51025862068968</v>
      </c>
    </row>
    <row r="50" spans="1:22">
      <c r="A50" t="str">
        <f>'Student Enrollment Data'!A52</f>
        <v>215</v>
      </c>
      <c r="B50">
        <f>'Student Enrollment Data'!B52</f>
        <v>215</v>
      </c>
      <c r="C50" t="str">
        <f>'Student Enrollment Data'!C52</f>
        <v>Fremont County Joint School District # 215</v>
      </c>
      <c r="D50">
        <v>0</v>
      </c>
      <c r="E50" s="34">
        <f>IF(settings!$G$4=0,'Student Enrollment Data'!BA52,'Student Enrollment Data'!CN52)</f>
        <v>1087</v>
      </c>
      <c r="F50" s="34">
        <f>IF(settings!$G$4=0,'Student Enrollment Data'!BB52,'Student Enrollment Data'!CO52)</f>
        <v>1018</v>
      </c>
      <c r="G50" s="34">
        <f t="shared" si="0"/>
        <v>0</v>
      </c>
      <c r="H50" s="34">
        <f t="shared" si="1"/>
        <v>0</v>
      </c>
      <c r="I50" s="34">
        <f t="shared" si="2"/>
        <v>0</v>
      </c>
      <c r="J50" s="36" t="str">
        <f t="shared" si="3"/>
        <v/>
      </c>
      <c r="K50" s="36" t="str">
        <f t="shared" si="4"/>
        <v/>
      </c>
      <c r="L50" s="36">
        <f t="shared" si="5"/>
        <v>0</v>
      </c>
      <c r="M50" s="36">
        <f t="shared" si="6"/>
        <v>0</v>
      </c>
      <c r="N50" s="36">
        <f t="shared" si="7"/>
        <v>1087</v>
      </c>
      <c r="O50" s="36">
        <f t="shared" si="8"/>
        <v>1018</v>
      </c>
      <c r="P50" s="36">
        <f t="shared" si="9"/>
        <v>2105</v>
      </c>
      <c r="Q50" s="36">
        <f t="shared" si="10"/>
        <v>1087</v>
      </c>
      <c r="R50" s="36">
        <f t="shared" si="11"/>
        <v>1018</v>
      </c>
      <c r="S50" s="37">
        <f t="shared" si="12"/>
        <v>2105</v>
      </c>
      <c r="T50">
        <f t="shared" si="13"/>
        <v>2105</v>
      </c>
      <c r="U50">
        <f t="shared" si="14"/>
        <v>2105</v>
      </c>
      <c r="V50">
        <f>IF(AND(settings!$D$4=0,settings!$D$7=0),'Small Dist Weight'!P50,IF(AND(settings!$D$4=0,settings!$D$7=1),T50,IF(AND(settings!$D$4=1,settings!$D$7=0),S50,U50)))</f>
        <v>2105</v>
      </c>
    </row>
    <row r="51" spans="1:22">
      <c r="A51" t="str">
        <f>'Student Enrollment Data'!A53</f>
        <v>221</v>
      </c>
      <c r="B51">
        <f>'Student Enrollment Data'!B53</f>
        <v>221</v>
      </c>
      <c r="C51" t="str">
        <f>'Student Enrollment Data'!C53</f>
        <v>Emmett Independent School District # 221</v>
      </c>
      <c r="D51">
        <v>0</v>
      </c>
      <c r="E51" s="34">
        <f>IF(settings!$G$4=0,'Student Enrollment Data'!BA53,'Student Enrollment Data'!CN53)</f>
        <v>1314.5</v>
      </c>
      <c r="F51" s="34">
        <f>IF(settings!$G$4=0,'Student Enrollment Data'!BB53,'Student Enrollment Data'!CO53)</f>
        <v>1018.5426470588235</v>
      </c>
      <c r="G51" s="34">
        <f t="shared" si="0"/>
        <v>0</v>
      </c>
      <c r="H51" s="34">
        <f t="shared" si="1"/>
        <v>0</v>
      </c>
      <c r="I51" s="34">
        <f t="shared" si="2"/>
        <v>0</v>
      </c>
      <c r="J51" s="36" t="str">
        <f t="shared" si="3"/>
        <v/>
      </c>
      <c r="K51" s="36" t="str">
        <f t="shared" si="4"/>
        <v/>
      </c>
      <c r="L51" s="36">
        <f t="shared" si="5"/>
        <v>0</v>
      </c>
      <c r="M51" s="36">
        <f t="shared" si="6"/>
        <v>0</v>
      </c>
      <c r="N51" s="36">
        <f t="shared" si="7"/>
        <v>1314.5</v>
      </c>
      <c r="O51" s="36">
        <f t="shared" si="8"/>
        <v>1018.5426470588235</v>
      </c>
      <c r="P51" s="36">
        <f t="shared" si="9"/>
        <v>2333.0426470588236</v>
      </c>
      <c r="Q51" s="36">
        <f t="shared" si="10"/>
        <v>1314.5</v>
      </c>
      <c r="R51" s="36">
        <f t="shared" si="11"/>
        <v>1018.5426470588235</v>
      </c>
      <c r="S51" s="37">
        <f t="shared" si="12"/>
        <v>2333.0426470588236</v>
      </c>
      <c r="T51">
        <f t="shared" si="13"/>
        <v>2333.0426470588236</v>
      </c>
      <c r="U51">
        <f t="shared" si="14"/>
        <v>2333.0426470588236</v>
      </c>
      <c r="V51">
        <f>IF(AND(settings!$D$4=0,settings!$D$7=0),'Small Dist Weight'!P51,IF(AND(settings!$D$4=0,settings!$D$7=1),T51,IF(AND(settings!$D$4=1,settings!$D$7=0),S51,U51)))</f>
        <v>2333.0426470588236</v>
      </c>
    </row>
    <row r="52" spans="1:22">
      <c r="A52" t="str">
        <f>'Student Enrollment Data'!A54</f>
        <v>231</v>
      </c>
      <c r="B52">
        <f>'Student Enrollment Data'!B54</f>
        <v>231</v>
      </c>
      <c r="C52" t="str">
        <f>'Student Enrollment Data'!C54</f>
        <v>Gooding Joint School District # 231</v>
      </c>
      <c r="D52">
        <v>0</v>
      </c>
      <c r="E52" s="34">
        <f>IF(settings!$G$4=0,'Student Enrollment Data'!BA54,'Student Enrollment Data'!CN54)</f>
        <v>682.5</v>
      </c>
      <c r="F52" s="34">
        <f>IF(settings!$G$4=0,'Student Enrollment Data'!BB54,'Student Enrollment Data'!CO54)</f>
        <v>624</v>
      </c>
      <c r="G52" s="34">
        <f t="shared" si="0"/>
        <v>0</v>
      </c>
      <c r="H52" s="34">
        <f t="shared" si="1"/>
        <v>1</v>
      </c>
      <c r="I52" s="34">
        <f t="shared" si="2"/>
        <v>0</v>
      </c>
      <c r="J52" s="36" t="str">
        <f t="shared" si="3"/>
        <v/>
      </c>
      <c r="K52" s="36">
        <f t="shared" si="4"/>
        <v>1.296896551724138</v>
      </c>
      <c r="L52" s="36">
        <f t="shared" si="5"/>
        <v>0</v>
      </c>
      <c r="M52" s="36">
        <f t="shared" si="6"/>
        <v>1.1484482758620691</v>
      </c>
      <c r="N52" s="36">
        <f t="shared" si="7"/>
        <v>682.5</v>
      </c>
      <c r="O52" s="36">
        <f t="shared" si="8"/>
        <v>809.26344827586206</v>
      </c>
      <c r="P52" s="36">
        <f t="shared" si="9"/>
        <v>1491.7634482758622</v>
      </c>
      <c r="Q52" s="36">
        <f t="shared" si="10"/>
        <v>682.5</v>
      </c>
      <c r="R52" s="36">
        <f t="shared" si="11"/>
        <v>716.63172413793109</v>
      </c>
      <c r="S52" s="37">
        <f t="shared" si="12"/>
        <v>1399.1317241379311</v>
      </c>
      <c r="T52">
        <f t="shared" si="13"/>
        <v>1491.7634482758622</v>
      </c>
      <c r="U52">
        <f t="shared" si="14"/>
        <v>1399.1317241379311</v>
      </c>
      <c r="V52">
        <f>IF(AND(settings!$D$4=0,settings!$D$7=0),'Small Dist Weight'!P52,IF(AND(settings!$D$4=0,settings!$D$7=1),T52,IF(AND(settings!$D$4=1,settings!$D$7=0),S52,U52)))</f>
        <v>1399.1317241379311</v>
      </c>
    </row>
    <row r="53" spans="1:22">
      <c r="A53" t="str">
        <f>'Student Enrollment Data'!A55</f>
        <v>232</v>
      </c>
      <c r="B53">
        <f>'Student Enrollment Data'!B55</f>
        <v>232</v>
      </c>
      <c r="C53" t="str">
        <f>'Student Enrollment Data'!C55</f>
        <v>Wendell School District # 232</v>
      </c>
      <c r="D53">
        <v>0</v>
      </c>
      <c r="E53" s="34">
        <f>IF(settings!$G$4=0,'Student Enrollment Data'!BA55,'Student Enrollment Data'!CN55)</f>
        <v>551</v>
      </c>
      <c r="F53" s="34">
        <f>IF(settings!$G$4=0,'Student Enrollment Data'!BB55,'Student Enrollment Data'!CO55)</f>
        <v>472</v>
      </c>
      <c r="G53" s="34">
        <f t="shared" si="0"/>
        <v>0</v>
      </c>
      <c r="H53" s="34">
        <f t="shared" si="1"/>
        <v>1</v>
      </c>
      <c r="I53" s="34">
        <f t="shared" si="2"/>
        <v>0</v>
      </c>
      <c r="J53" s="36" t="str">
        <f t="shared" si="3"/>
        <v/>
      </c>
      <c r="K53" s="36">
        <f t="shared" si="4"/>
        <v>1.4803448275862068</v>
      </c>
      <c r="L53" s="36">
        <f t="shared" si="5"/>
        <v>0</v>
      </c>
      <c r="M53" s="36">
        <f t="shared" si="6"/>
        <v>1.2401724137931036</v>
      </c>
      <c r="N53" s="36">
        <f t="shared" si="7"/>
        <v>551</v>
      </c>
      <c r="O53" s="36">
        <f t="shared" si="8"/>
        <v>698.72275862068955</v>
      </c>
      <c r="P53" s="36">
        <f t="shared" si="9"/>
        <v>1249.7227586206895</v>
      </c>
      <c r="Q53" s="36">
        <f t="shared" si="10"/>
        <v>551</v>
      </c>
      <c r="R53" s="36">
        <f t="shared" si="11"/>
        <v>585.36137931034489</v>
      </c>
      <c r="S53" s="37">
        <f t="shared" si="12"/>
        <v>1136.361379310345</v>
      </c>
      <c r="T53">
        <f t="shared" si="13"/>
        <v>1249.7227586206895</v>
      </c>
      <c r="U53">
        <f t="shared" si="14"/>
        <v>1136.361379310345</v>
      </c>
      <c r="V53">
        <f>IF(AND(settings!$D$4=0,settings!$D$7=0),'Small Dist Weight'!P53,IF(AND(settings!$D$4=0,settings!$D$7=1),T53,IF(AND(settings!$D$4=1,settings!$D$7=0),S53,U53)))</f>
        <v>1136.361379310345</v>
      </c>
    </row>
    <row r="54" spans="1:22">
      <c r="A54" t="str">
        <f>'Student Enrollment Data'!A56</f>
        <v>233</v>
      </c>
      <c r="B54">
        <f>'Student Enrollment Data'!B56</f>
        <v>233</v>
      </c>
      <c r="C54" t="str">
        <f>'Student Enrollment Data'!C56</f>
        <v>Hagerman Joint School District # 233</v>
      </c>
      <c r="D54">
        <v>0</v>
      </c>
      <c r="E54" s="34">
        <f>IF(settings!$G$4=0,'Student Enrollment Data'!BA56,'Student Enrollment Data'!CN56)</f>
        <v>171.5</v>
      </c>
      <c r="F54" s="34">
        <f>IF(settings!$G$4=0,'Student Enrollment Data'!BB56,'Student Enrollment Data'!CO56)</f>
        <v>109</v>
      </c>
      <c r="G54" s="34">
        <f t="shared" si="0"/>
        <v>1</v>
      </c>
      <c r="H54" s="34">
        <f t="shared" si="1"/>
        <v>1</v>
      </c>
      <c r="I54" s="34">
        <f t="shared" si="2"/>
        <v>1</v>
      </c>
      <c r="J54" s="36">
        <f t="shared" si="3"/>
        <v>1.5043181818181819</v>
      </c>
      <c r="K54" s="36">
        <f t="shared" si="4"/>
        <v>1.9184482758620689</v>
      </c>
      <c r="L54" s="36">
        <f t="shared" si="5"/>
        <v>1.2521590909090912</v>
      </c>
      <c r="M54" s="36">
        <f t="shared" si="6"/>
        <v>1.8526724137931034</v>
      </c>
      <c r="N54" s="36">
        <f t="shared" si="7"/>
        <v>257.99056818181822</v>
      </c>
      <c r="O54" s="36">
        <f t="shared" si="8"/>
        <v>209.1108620689655</v>
      </c>
      <c r="P54" s="36">
        <f t="shared" si="9"/>
        <v>467.10143025078372</v>
      </c>
      <c r="Q54" s="36">
        <f t="shared" si="10"/>
        <v>214.74528409090914</v>
      </c>
      <c r="R54" s="36">
        <f t="shared" si="11"/>
        <v>201.94129310344829</v>
      </c>
      <c r="S54" s="37">
        <f t="shared" si="12"/>
        <v>416.68657719435743</v>
      </c>
      <c r="T54">
        <f t="shared" si="13"/>
        <v>467.10143025078372</v>
      </c>
      <c r="U54">
        <f t="shared" si="14"/>
        <v>416.68657719435743</v>
      </c>
      <c r="V54">
        <f>IF(AND(settings!$D$4=0,settings!$D$7=0),'Small Dist Weight'!P54,IF(AND(settings!$D$4=0,settings!$D$7=1),T54,IF(AND(settings!$D$4=1,settings!$D$7=0),S54,U54)))</f>
        <v>416.68657719435743</v>
      </c>
    </row>
    <row r="55" spans="1:22">
      <c r="A55" t="str">
        <f>'Student Enrollment Data'!A57</f>
        <v>234</v>
      </c>
      <c r="B55">
        <f>'Student Enrollment Data'!B57</f>
        <v>234</v>
      </c>
      <c r="C55" t="str">
        <f>'Student Enrollment Data'!C57</f>
        <v>Bliss Joint School District # 234</v>
      </c>
      <c r="D55">
        <v>0</v>
      </c>
      <c r="E55" s="34">
        <f>IF(settings!$G$4=0,'Student Enrollment Data'!BA57,'Student Enrollment Data'!CN57)</f>
        <v>75</v>
      </c>
      <c r="F55" s="34">
        <f>IF(settings!$G$4=0,'Student Enrollment Data'!BB57,'Student Enrollment Data'!CO57)</f>
        <v>100</v>
      </c>
      <c r="G55" s="34">
        <f t="shared" si="0"/>
        <v>1</v>
      </c>
      <c r="H55" s="34">
        <f t="shared" si="1"/>
        <v>1</v>
      </c>
      <c r="I55" s="34">
        <f t="shared" si="2"/>
        <v>1</v>
      </c>
      <c r="J55" s="36">
        <f t="shared" si="3"/>
        <v>1.8113636363636365</v>
      </c>
      <c r="K55" s="36">
        <f t="shared" si="4"/>
        <v>1.9293103448275861</v>
      </c>
      <c r="L55" s="36">
        <f t="shared" si="5"/>
        <v>1.6920454545454546</v>
      </c>
      <c r="M55" s="36">
        <f t="shared" si="6"/>
        <v>1.8689655172413793</v>
      </c>
      <c r="N55" s="36">
        <f t="shared" si="7"/>
        <v>135.85227272727275</v>
      </c>
      <c r="O55" s="36">
        <f t="shared" si="8"/>
        <v>192.93103448275861</v>
      </c>
      <c r="P55" s="36">
        <f t="shared" si="9"/>
        <v>328.78330721003135</v>
      </c>
      <c r="Q55" s="36">
        <f t="shared" si="10"/>
        <v>126.90340909090909</v>
      </c>
      <c r="R55" s="36">
        <f t="shared" si="11"/>
        <v>186.89655172413794</v>
      </c>
      <c r="S55" s="37">
        <f t="shared" si="12"/>
        <v>313.79996081504703</v>
      </c>
      <c r="T55">
        <f t="shared" si="13"/>
        <v>328.78330721003135</v>
      </c>
      <c r="U55">
        <f t="shared" si="14"/>
        <v>313.79996081504703</v>
      </c>
      <c r="V55">
        <f>IF(AND(settings!$D$4=0,settings!$D$7=0),'Small Dist Weight'!P55,IF(AND(settings!$D$4=0,settings!$D$7=1),T55,IF(AND(settings!$D$4=1,settings!$D$7=0),S55,U55)))</f>
        <v>313.79996081504703</v>
      </c>
    </row>
    <row r="56" spans="1:22">
      <c r="A56" t="str">
        <f>'Student Enrollment Data'!A58</f>
        <v>242</v>
      </c>
      <c r="B56">
        <f>'Student Enrollment Data'!B58</f>
        <v>242</v>
      </c>
      <c r="C56" t="str">
        <f>'Student Enrollment Data'!C58</f>
        <v>Cottonwood Joint School District # 242</v>
      </c>
      <c r="D56">
        <v>0</v>
      </c>
      <c r="E56" s="34">
        <f>IF(settings!$G$4=0,'Student Enrollment Data'!BA58,'Student Enrollment Data'!CN58)</f>
        <v>194</v>
      </c>
      <c r="F56" s="34">
        <f>IF(settings!$G$4=0,'Student Enrollment Data'!BB58,'Student Enrollment Data'!CO58)</f>
        <v>175</v>
      </c>
      <c r="G56" s="34">
        <f t="shared" si="0"/>
        <v>1</v>
      </c>
      <c r="H56" s="34">
        <f t="shared" si="1"/>
        <v>1</v>
      </c>
      <c r="I56" s="34">
        <f t="shared" si="2"/>
        <v>1</v>
      </c>
      <c r="J56" s="36">
        <f t="shared" si="3"/>
        <v>1.4327272727272726</v>
      </c>
      <c r="K56" s="36">
        <f t="shared" si="4"/>
        <v>1.8387931034482758</v>
      </c>
      <c r="L56" s="36">
        <f t="shared" si="5"/>
        <v>1.2163636363636365</v>
      </c>
      <c r="M56" s="36">
        <f t="shared" si="6"/>
        <v>1.7331896551724137</v>
      </c>
      <c r="N56" s="36">
        <f t="shared" si="7"/>
        <v>277.9490909090909</v>
      </c>
      <c r="O56" s="36">
        <f t="shared" si="8"/>
        <v>321.78879310344826</v>
      </c>
      <c r="P56" s="36">
        <f t="shared" si="9"/>
        <v>599.7378840125391</v>
      </c>
      <c r="Q56" s="36">
        <f t="shared" si="10"/>
        <v>235.97454545454548</v>
      </c>
      <c r="R56" s="36">
        <f t="shared" si="11"/>
        <v>303.30818965517238</v>
      </c>
      <c r="S56" s="37">
        <f t="shared" si="12"/>
        <v>539.28273510971781</v>
      </c>
      <c r="T56">
        <f t="shared" si="13"/>
        <v>599.7378840125391</v>
      </c>
      <c r="U56">
        <f t="shared" si="14"/>
        <v>539.28273510971781</v>
      </c>
      <c r="V56">
        <f>IF(AND(settings!$D$4=0,settings!$D$7=0),'Small Dist Weight'!P56,IF(AND(settings!$D$4=0,settings!$D$7=1),T56,IF(AND(settings!$D$4=1,settings!$D$7=0),S56,U56)))</f>
        <v>539.28273510971781</v>
      </c>
    </row>
    <row r="57" spans="1:22">
      <c r="A57" t="str">
        <f>'Student Enrollment Data'!A59</f>
        <v>243</v>
      </c>
      <c r="B57">
        <f>'Student Enrollment Data'!B59</f>
        <v>243</v>
      </c>
      <c r="C57" t="str">
        <f>'Student Enrollment Data'!C59</f>
        <v>Salmon River Joint School District # 243</v>
      </c>
      <c r="D57">
        <v>0</v>
      </c>
      <c r="E57" s="34">
        <f>IF(settings!$G$4=0,'Student Enrollment Data'!BA59,'Student Enrollment Data'!CN59)</f>
        <v>58.5</v>
      </c>
      <c r="F57" s="34">
        <f>IF(settings!$G$4=0,'Student Enrollment Data'!BB59,'Student Enrollment Data'!CO59)</f>
        <v>100</v>
      </c>
      <c r="G57" s="34">
        <f t="shared" si="0"/>
        <v>1</v>
      </c>
      <c r="H57" s="34">
        <f t="shared" si="1"/>
        <v>1</v>
      </c>
      <c r="I57" s="34">
        <f t="shared" si="2"/>
        <v>1</v>
      </c>
      <c r="J57" s="36">
        <f t="shared" si="3"/>
        <v>1.8638636363636363</v>
      </c>
      <c r="K57" s="36">
        <f t="shared" si="4"/>
        <v>1.9293103448275861</v>
      </c>
      <c r="L57" s="36">
        <f t="shared" si="5"/>
        <v>1.7707954545454545</v>
      </c>
      <c r="M57" s="36">
        <f t="shared" si="6"/>
        <v>1.8689655172413793</v>
      </c>
      <c r="N57" s="36">
        <f t="shared" si="7"/>
        <v>109.03602272727272</v>
      </c>
      <c r="O57" s="36">
        <f t="shared" si="8"/>
        <v>192.93103448275861</v>
      </c>
      <c r="P57" s="36">
        <f t="shared" si="9"/>
        <v>301.96705721003133</v>
      </c>
      <c r="Q57" s="36">
        <f t="shared" si="10"/>
        <v>103.59153409090909</v>
      </c>
      <c r="R57" s="36">
        <f t="shared" si="11"/>
        <v>186.89655172413794</v>
      </c>
      <c r="S57" s="37">
        <f t="shared" si="12"/>
        <v>290.48808581504704</v>
      </c>
      <c r="T57">
        <f t="shared" si="13"/>
        <v>301.96705721003133</v>
      </c>
      <c r="U57">
        <f t="shared" si="14"/>
        <v>290.48808581504704</v>
      </c>
      <c r="V57">
        <f>IF(AND(settings!$D$4=0,settings!$D$7=0),'Small Dist Weight'!P57,IF(AND(settings!$D$4=0,settings!$D$7=1),T57,IF(AND(settings!$D$4=1,settings!$D$7=0),S57,U57)))</f>
        <v>290.48808581504704</v>
      </c>
    </row>
    <row r="58" spans="1:22">
      <c r="A58" t="str">
        <f>'Student Enrollment Data'!A60</f>
        <v>244</v>
      </c>
      <c r="B58">
        <f>'Student Enrollment Data'!B60</f>
        <v>244</v>
      </c>
      <c r="C58" t="str">
        <f>'Student Enrollment Data'!C60</f>
        <v>Mountain View School District # 244</v>
      </c>
      <c r="D58">
        <v>0</v>
      </c>
      <c r="E58" s="34">
        <f>IF(settings!$G$4=0,'Student Enrollment Data'!BA60,'Student Enrollment Data'!CN60)</f>
        <v>627</v>
      </c>
      <c r="F58" s="34">
        <f>IF(settings!$G$4=0,'Student Enrollment Data'!BB60,'Student Enrollment Data'!CO60)</f>
        <v>573</v>
      </c>
      <c r="G58" s="34">
        <f t="shared" si="0"/>
        <v>0</v>
      </c>
      <c r="H58" s="34">
        <f t="shared" si="1"/>
        <v>1</v>
      </c>
      <c r="I58" s="34">
        <f t="shared" si="2"/>
        <v>0</v>
      </c>
      <c r="J58" s="36" t="str">
        <f t="shared" si="3"/>
        <v/>
      </c>
      <c r="K58" s="36">
        <f t="shared" si="4"/>
        <v>1.3584482758620688</v>
      </c>
      <c r="L58" s="36">
        <f t="shared" si="5"/>
        <v>0</v>
      </c>
      <c r="M58" s="36">
        <f t="shared" si="6"/>
        <v>1.1792241379310346</v>
      </c>
      <c r="N58" s="36">
        <f t="shared" si="7"/>
        <v>627</v>
      </c>
      <c r="O58" s="36">
        <f t="shared" si="8"/>
        <v>778.39086206896548</v>
      </c>
      <c r="P58" s="36">
        <f t="shared" si="9"/>
        <v>1405.3908620689654</v>
      </c>
      <c r="Q58" s="36">
        <f t="shared" si="10"/>
        <v>627</v>
      </c>
      <c r="R58" s="36">
        <f t="shared" si="11"/>
        <v>675.69543103448279</v>
      </c>
      <c r="S58" s="37">
        <f t="shared" si="12"/>
        <v>1302.6954310344827</v>
      </c>
      <c r="T58">
        <f t="shared" si="13"/>
        <v>1405.3908620689654</v>
      </c>
      <c r="U58">
        <f t="shared" si="14"/>
        <v>1302.6954310344827</v>
      </c>
      <c r="V58">
        <f>IF(AND(settings!$D$4=0,settings!$D$7=0),'Small Dist Weight'!P58,IF(AND(settings!$D$4=0,settings!$D$7=1),T58,IF(AND(settings!$D$4=1,settings!$D$7=0),S58,U58)))</f>
        <v>1302.6954310344827</v>
      </c>
    </row>
    <row r="59" spans="1:22">
      <c r="A59" t="str">
        <f>'Student Enrollment Data'!A61</f>
        <v>251</v>
      </c>
      <c r="B59">
        <f>'Student Enrollment Data'!B61</f>
        <v>251</v>
      </c>
      <c r="C59" t="str">
        <f>'Student Enrollment Data'!C61</f>
        <v>Jefferson County Joint School District # 251</v>
      </c>
      <c r="D59">
        <v>0</v>
      </c>
      <c r="E59" s="34">
        <f>IF(settings!$G$4=0,'Student Enrollment Data'!BA61,'Student Enrollment Data'!CN61)</f>
        <v>3191.5882352941176</v>
      </c>
      <c r="F59" s="34">
        <f>IF(settings!$G$4=0,'Student Enrollment Data'!BB61,'Student Enrollment Data'!CO61)</f>
        <v>2643.6838235294117</v>
      </c>
      <c r="G59" s="34">
        <f t="shared" si="0"/>
        <v>0</v>
      </c>
      <c r="H59" s="34">
        <f t="shared" si="1"/>
        <v>0</v>
      </c>
      <c r="I59" s="34">
        <f t="shared" si="2"/>
        <v>0</v>
      </c>
      <c r="J59" s="36" t="str">
        <f t="shared" si="3"/>
        <v/>
      </c>
      <c r="K59" s="36" t="str">
        <f t="shared" si="4"/>
        <v/>
      </c>
      <c r="L59" s="36">
        <f t="shared" si="5"/>
        <v>0</v>
      </c>
      <c r="M59" s="36">
        <f t="shared" si="6"/>
        <v>0</v>
      </c>
      <c r="N59" s="36">
        <f t="shared" si="7"/>
        <v>3191.5882352941176</v>
      </c>
      <c r="O59" s="36">
        <f t="shared" si="8"/>
        <v>2643.6838235294117</v>
      </c>
      <c r="P59" s="36">
        <f t="shared" si="9"/>
        <v>5835.2720588235297</v>
      </c>
      <c r="Q59" s="36">
        <f t="shared" si="10"/>
        <v>3191.5882352941176</v>
      </c>
      <c r="R59" s="36">
        <f t="shared" si="11"/>
        <v>2643.6838235294117</v>
      </c>
      <c r="S59" s="37">
        <f t="shared" si="12"/>
        <v>5835.2720588235297</v>
      </c>
      <c r="T59">
        <f t="shared" si="13"/>
        <v>5835.2720588235297</v>
      </c>
      <c r="U59">
        <f t="shared" si="14"/>
        <v>5835.2720588235297</v>
      </c>
      <c r="V59">
        <f>IF(AND(settings!$D$4=0,settings!$D$7=0),'Small Dist Weight'!P59,IF(AND(settings!$D$4=0,settings!$D$7=1),T59,IF(AND(settings!$D$4=1,settings!$D$7=0),S59,U59)))</f>
        <v>5835.2720588235297</v>
      </c>
    </row>
    <row r="60" spans="1:22">
      <c r="A60" t="str">
        <f>'Student Enrollment Data'!A62</f>
        <v>252</v>
      </c>
      <c r="B60">
        <f>'Student Enrollment Data'!B62</f>
        <v>252</v>
      </c>
      <c r="C60" t="str">
        <f>'Student Enrollment Data'!C62</f>
        <v>Ririe Joint School District # 252</v>
      </c>
      <c r="D60">
        <v>0</v>
      </c>
      <c r="E60" s="34">
        <f>IF(settings!$G$4=0,'Student Enrollment Data'!BA62,'Student Enrollment Data'!CN62)</f>
        <v>314.5</v>
      </c>
      <c r="F60" s="34">
        <f>IF(settings!$G$4=0,'Student Enrollment Data'!BB62,'Student Enrollment Data'!CO62)</f>
        <v>361</v>
      </c>
      <c r="G60" s="34">
        <f t="shared" si="0"/>
        <v>1</v>
      </c>
      <c r="H60" s="34">
        <f t="shared" si="1"/>
        <v>1</v>
      </c>
      <c r="I60" s="34">
        <f t="shared" si="2"/>
        <v>1</v>
      </c>
      <c r="J60" s="36">
        <f t="shared" si="3"/>
        <v>1.0493181818181818</v>
      </c>
      <c r="K60" s="36">
        <f t="shared" si="4"/>
        <v>1.6143103448275862</v>
      </c>
      <c r="L60" s="36">
        <f t="shared" si="5"/>
        <v>1.0246590909090911</v>
      </c>
      <c r="M60" s="36">
        <f t="shared" si="6"/>
        <v>1.3964655172413794</v>
      </c>
      <c r="N60" s="36">
        <f t="shared" si="7"/>
        <v>330.0105681818182</v>
      </c>
      <c r="O60" s="36">
        <f t="shared" si="8"/>
        <v>582.76603448275864</v>
      </c>
      <c r="P60" s="36">
        <f t="shared" si="9"/>
        <v>912.77660266457679</v>
      </c>
      <c r="Q60" s="36">
        <f t="shared" si="10"/>
        <v>322.25528409090919</v>
      </c>
      <c r="R60" s="36">
        <f t="shared" si="11"/>
        <v>504.12405172413793</v>
      </c>
      <c r="S60" s="37">
        <f t="shared" si="12"/>
        <v>826.37933581504717</v>
      </c>
      <c r="T60">
        <f t="shared" si="13"/>
        <v>912.77660266457679</v>
      </c>
      <c r="U60">
        <f t="shared" si="14"/>
        <v>826.37933581504717</v>
      </c>
      <c r="V60">
        <f>IF(AND(settings!$D$4=0,settings!$D$7=0),'Small Dist Weight'!P60,IF(AND(settings!$D$4=0,settings!$D$7=1),T60,IF(AND(settings!$D$4=1,settings!$D$7=0),S60,U60)))</f>
        <v>826.37933581504717</v>
      </c>
    </row>
    <row r="61" spans="1:22">
      <c r="A61" t="str">
        <f>'Student Enrollment Data'!A63</f>
        <v>253</v>
      </c>
      <c r="B61">
        <f>'Student Enrollment Data'!B63</f>
        <v>253</v>
      </c>
      <c r="C61" t="str">
        <f>'Student Enrollment Data'!C63</f>
        <v>West Jefferson School District # 253</v>
      </c>
      <c r="D61">
        <v>0</v>
      </c>
      <c r="E61" s="34">
        <f>IF(settings!$G$4=0,'Student Enrollment Data'!BA63,'Student Enrollment Data'!CN63)</f>
        <v>269</v>
      </c>
      <c r="F61" s="34">
        <f>IF(settings!$G$4=0,'Student Enrollment Data'!BB63,'Student Enrollment Data'!CO63)</f>
        <v>307</v>
      </c>
      <c r="G61" s="34">
        <f t="shared" si="0"/>
        <v>1</v>
      </c>
      <c r="H61" s="34">
        <f t="shared" si="1"/>
        <v>1</v>
      </c>
      <c r="I61" s="34">
        <f t="shared" si="2"/>
        <v>1</v>
      </c>
      <c r="J61" s="36">
        <f t="shared" si="3"/>
        <v>1.1940909090909091</v>
      </c>
      <c r="K61" s="36">
        <f t="shared" si="4"/>
        <v>1.6794827586206897</v>
      </c>
      <c r="L61" s="36">
        <f t="shared" si="5"/>
        <v>1.0970454545454547</v>
      </c>
      <c r="M61" s="36">
        <f t="shared" si="6"/>
        <v>1.4942241379310346</v>
      </c>
      <c r="N61" s="36">
        <f t="shared" si="7"/>
        <v>321.21045454545452</v>
      </c>
      <c r="O61" s="36">
        <f t="shared" si="8"/>
        <v>515.60120689655173</v>
      </c>
      <c r="P61" s="36">
        <f t="shared" si="9"/>
        <v>836.8116614420062</v>
      </c>
      <c r="Q61" s="36">
        <f t="shared" si="10"/>
        <v>295.10522727272729</v>
      </c>
      <c r="R61" s="36">
        <f t="shared" si="11"/>
        <v>458.72681034482764</v>
      </c>
      <c r="S61" s="37">
        <f t="shared" si="12"/>
        <v>753.83203761755499</v>
      </c>
      <c r="T61">
        <f t="shared" si="13"/>
        <v>836.8116614420062</v>
      </c>
      <c r="U61">
        <f t="shared" si="14"/>
        <v>753.83203761755499</v>
      </c>
      <c r="V61">
        <f>IF(AND(settings!$D$4=0,settings!$D$7=0),'Small Dist Weight'!P61,IF(AND(settings!$D$4=0,settings!$D$7=1),T61,IF(AND(settings!$D$4=1,settings!$D$7=0),S61,U61)))</f>
        <v>753.83203761755499</v>
      </c>
    </row>
    <row r="62" spans="1:22">
      <c r="A62" t="str">
        <f>'Student Enrollment Data'!A64</f>
        <v>261</v>
      </c>
      <c r="B62">
        <f>'Student Enrollment Data'!B64</f>
        <v>261</v>
      </c>
      <c r="C62" t="str">
        <f>'Student Enrollment Data'!C64</f>
        <v>Jerome Joint School District # 261</v>
      </c>
      <c r="D62">
        <v>0</v>
      </c>
      <c r="E62" s="34">
        <f>IF(settings!$G$4=0,'Student Enrollment Data'!BA64,'Student Enrollment Data'!CN64)</f>
        <v>2085.2492647058825</v>
      </c>
      <c r="F62" s="34">
        <f>IF(settings!$G$4=0,'Student Enrollment Data'!BB64,'Student Enrollment Data'!CO64)</f>
        <v>1804.9367647058823</v>
      </c>
      <c r="G62" s="34">
        <f t="shared" si="0"/>
        <v>0</v>
      </c>
      <c r="H62" s="34">
        <f t="shared" si="1"/>
        <v>0</v>
      </c>
      <c r="I62" s="34">
        <f t="shared" si="2"/>
        <v>0</v>
      </c>
      <c r="J62" s="36" t="str">
        <f t="shared" si="3"/>
        <v/>
      </c>
      <c r="K62" s="36" t="str">
        <f t="shared" si="4"/>
        <v/>
      </c>
      <c r="L62" s="36">
        <f t="shared" si="5"/>
        <v>0</v>
      </c>
      <c r="M62" s="36">
        <f t="shared" si="6"/>
        <v>0</v>
      </c>
      <c r="N62" s="36">
        <f t="shared" si="7"/>
        <v>2085.2492647058825</v>
      </c>
      <c r="O62" s="36">
        <f t="shared" si="8"/>
        <v>1804.9367647058823</v>
      </c>
      <c r="P62" s="36">
        <f t="shared" si="9"/>
        <v>3890.186029411765</v>
      </c>
      <c r="Q62" s="36">
        <f t="shared" si="10"/>
        <v>2085.2492647058825</v>
      </c>
      <c r="R62" s="36">
        <f t="shared" si="11"/>
        <v>1804.9367647058823</v>
      </c>
      <c r="S62" s="37">
        <f t="shared" si="12"/>
        <v>3890.186029411765</v>
      </c>
      <c r="T62">
        <f t="shared" si="13"/>
        <v>3890.186029411765</v>
      </c>
      <c r="U62">
        <f t="shared" si="14"/>
        <v>3890.186029411765</v>
      </c>
      <c r="V62">
        <f>IF(AND(settings!$D$4=0,settings!$D$7=0),'Small Dist Weight'!P62,IF(AND(settings!$D$4=0,settings!$D$7=1),T62,IF(AND(settings!$D$4=1,settings!$D$7=0),S62,U62)))</f>
        <v>3890.186029411765</v>
      </c>
    </row>
    <row r="63" spans="1:22">
      <c r="A63" t="str">
        <f>'Student Enrollment Data'!A65</f>
        <v>262</v>
      </c>
      <c r="B63">
        <f>'Student Enrollment Data'!B65</f>
        <v>262</v>
      </c>
      <c r="C63" t="str">
        <f>'Student Enrollment Data'!C65</f>
        <v>Valley School District # 262</v>
      </c>
      <c r="D63">
        <v>0</v>
      </c>
      <c r="E63" s="34">
        <f>IF(settings!$G$4=0,'Student Enrollment Data'!BA65,'Student Enrollment Data'!CN65)</f>
        <v>304.5</v>
      </c>
      <c r="F63" s="34">
        <f>IF(settings!$G$4=0,'Student Enrollment Data'!BB65,'Student Enrollment Data'!CO65)</f>
        <v>270</v>
      </c>
      <c r="G63" s="34">
        <f t="shared" si="0"/>
        <v>1</v>
      </c>
      <c r="H63" s="34">
        <f t="shared" si="1"/>
        <v>1</v>
      </c>
      <c r="I63" s="34">
        <f t="shared" si="2"/>
        <v>1</v>
      </c>
      <c r="J63" s="36">
        <f t="shared" si="3"/>
        <v>1.0811363636363636</v>
      </c>
      <c r="K63" s="36">
        <f t="shared" si="4"/>
        <v>1.7241379310344827</v>
      </c>
      <c r="L63" s="36">
        <f t="shared" si="5"/>
        <v>1.040568181818182</v>
      </c>
      <c r="M63" s="36">
        <f t="shared" si="6"/>
        <v>1.5612068965517243</v>
      </c>
      <c r="N63" s="36">
        <f t="shared" si="7"/>
        <v>329.20602272727268</v>
      </c>
      <c r="O63" s="36">
        <f t="shared" si="8"/>
        <v>465.51724137931029</v>
      </c>
      <c r="P63" s="36">
        <f t="shared" si="9"/>
        <v>794.72326410658297</v>
      </c>
      <c r="Q63" s="36">
        <f t="shared" si="10"/>
        <v>316.85301136363643</v>
      </c>
      <c r="R63" s="36">
        <f t="shared" si="11"/>
        <v>421.52586206896558</v>
      </c>
      <c r="S63" s="37">
        <f t="shared" si="12"/>
        <v>738.37887343260195</v>
      </c>
      <c r="T63">
        <f t="shared" si="13"/>
        <v>794.72326410658297</v>
      </c>
      <c r="U63">
        <f t="shared" si="14"/>
        <v>738.37887343260195</v>
      </c>
      <c r="V63">
        <f>IF(AND(settings!$D$4=0,settings!$D$7=0),'Small Dist Weight'!P63,IF(AND(settings!$D$4=0,settings!$D$7=1),T63,IF(AND(settings!$D$4=1,settings!$D$7=0),S63,U63)))</f>
        <v>738.37887343260195</v>
      </c>
    </row>
    <row r="64" spans="1:22">
      <c r="A64" t="str">
        <f>'Student Enrollment Data'!A66</f>
        <v>271</v>
      </c>
      <c r="B64">
        <f>'Student Enrollment Data'!B66</f>
        <v>271</v>
      </c>
      <c r="C64" t="str">
        <f>'Student Enrollment Data'!C66</f>
        <v>Coeur d' Alene School District # 271</v>
      </c>
      <c r="D64">
        <v>0</v>
      </c>
      <c r="E64" s="34">
        <f>IF(settings!$G$4=0,'Student Enrollment Data'!BA66,'Student Enrollment Data'!CN66)</f>
        <v>5562.3564145658265</v>
      </c>
      <c r="F64" s="34">
        <f>IF(settings!$G$4=0,'Student Enrollment Data'!BB66,'Student Enrollment Data'!CO66)</f>
        <v>4831.9381372549024</v>
      </c>
      <c r="G64" s="34">
        <f t="shared" si="0"/>
        <v>0</v>
      </c>
      <c r="H64" s="34">
        <f t="shared" si="1"/>
        <v>0</v>
      </c>
      <c r="I64" s="34">
        <f t="shared" si="2"/>
        <v>0</v>
      </c>
      <c r="J64" s="36" t="str">
        <f t="shared" si="3"/>
        <v/>
      </c>
      <c r="K64" s="36" t="str">
        <f t="shared" si="4"/>
        <v/>
      </c>
      <c r="L64" s="36">
        <f t="shared" si="5"/>
        <v>0</v>
      </c>
      <c r="M64" s="36">
        <f t="shared" si="6"/>
        <v>0</v>
      </c>
      <c r="N64" s="36">
        <f t="shared" si="7"/>
        <v>5562.3564145658265</v>
      </c>
      <c r="O64" s="36">
        <f t="shared" si="8"/>
        <v>4831.9381372549024</v>
      </c>
      <c r="P64" s="36">
        <f t="shared" si="9"/>
        <v>10394.294551820729</v>
      </c>
      <c r="Q64" s="36">
        <f t="shared" si="10"/>
        <v>5562.3564145658265</v>
      </c>
      <c r="R64" s="36">
        <f t="shared" si="11"/>
        <v>4831.9381372549024</v>
      </c>
      <c r="S64" s="37">
        <f t="shared" si="12"/>
        <v>10394.294551820729</v>
      </c>
      <c r="T64">
        <f t="shared" si="13"/>
        <v>10394.294551820729</v>
      </c>
      <c r="U64">
        <f t="shared" si="14"/>
        <v>10394.294551820729</v>
      </c>
      <c r="V64">
        <f>IF(AND(settings!$D$4=0,settings!$D$7=0),'Small Dist Weight'!P64,IF(AND(settings!$D$4=0,settings!$D$7=1),T64,IF(AND(settings!$D$4=1,settings!$D$7=0),S64,U64)))</f>
        <v>10394.294551820729</v>
      </c>
    </row>
    <row r="65" spans="1:22">
      <c r="A65" t="str">
        <f>'Student Enrollment Data'!A67</f>
        <v>272</v>
      </c>
      <c r="B65">
        <f>'Student Enrollment Data'!B67</f>
        <v>272</v>
      </c>
      <c r="C65" t="str">
        <f>'Student Enrollment Data'!C67</f>
        <v>Lakeland School District # 272</v>
      </c>
      <c r="D65">
        <v>0</v>
      </c>
      <c r="E65" s="34">
        <f>IF(settings!$G$4=0,'Student Enrollment Data'!BA67,'Student Enrollment Data'!CN67)</f>
        <v>2076.1715686274511</v>
      </c>
      <c r="F65" s="34">
        <f>IF(settings!$G$4=0,'Student Enrollment Data'!BB67,'Student Enrollment Data'!CO67)</f>
        <v>2229.9093137254904</v>
      </c>
      <c r="G65" s="34">
        <f t="shared" si="0"/>
        <v>0</v>
      </c>
      <c r="H65" s="34">
        <f t="shared" si="1"/>
        <v>0</v>
      </c>
      <c r="I65" s="34">
        <f t="shared" si="2"/>
        <v>0</v>
      </c>
      <c r="J65" s="36" t="str">
        <f t="shared" si="3"/>
        <v/>
      </c>
      <c r="K65" s="36" t="str">
        <f t="shared" si="4"/>
        <v/>
      </c>
      <c r="L65" s="36">
        <f t="shared" si="5"/>
        <v>0</v>
      </c>
      <c r="M65" s="36">
        <f t="shared" si="6"/>
        <v>0</v>
      </c>
      <c r="N65" s="36">
        <f t="shared" si="7"/>
        <v>2076.1715686274511</v>
      </c>
      <c r="O65" s="36">
        <f t="shared" si="8"/>
        <v>2229.9093137254904</v>
      </c>
      <c r="P65" s="36">
        <f t="shared" si="9"/>
        <v>4306.0808823529414</v>
      </c>
      <c r="Q65" s="36">
        <f t="shared" si="10"/>
        <v>2076.1715686274511</v>
      </c>
      <c r="R65" s="36">
        <f t="shared" si="11"/>
        <v>2229.9093137254904</v>
      </c>
      <c r="S65" s="37">
        <f t="shared" si="12"/>
        <v>4306.0808823529414</v>
      </c>
      <c r="T65">
        <f t="shared" si="13"/>
        <v>4306.0808823529414</v>
      </c>
      <c r="U65">
        <f t="shared" si="14"/>
        <v>4306.0808823529414</v>
      </c>
      <c r="V65">
        <f>IF(AND(settings!$D$4=0,settings!$D$7=0),'Small Dist Weight'!P65,IF(AND(settings!$D$4=0,settings!$D$7=1),T65,IF(AND(settings!$D$4=1,settings!$D$7=0),S65,U65)))</f>
        <v>4306.0808823529414</v>
      </c>
    </row>
    <row r="66" spans="1:22">
      <c r="A66" t="str">
        <f>'Student Enrollment Data'!A68</f>
        <v>273</v>
      </c>
      <c r="B66">
        <f>'Student Enrollment Data'!B68</f>
        <v>273</v>
      </c>
      <c r="C66" t="str">
        <f>'Student Enrollment Data'!C68</f>
        <v>Post Falls School District # 273</v>
      </c>
      <c r="D66">
        <v>0</v>
      </c>
      <c r="E66" s="34">
        <f>IF(settings!$G$4=0,'Student Enrollment Data'!BA68,'Student Enrollment Data'!CN68)</f>
        <v>3131.780745098039</v>
      </c>
      <c r="F66" s="34">
        <f>IF(settings!$G$4=0,'Student Enrollment Data'!BB68,'Student Enrollment Data'!CO68)</f>
        <v>2682.6224509803919</v>
      </c>
      <c r="G66" s="34">
        <f t="shared" si="0"/>
        <v>0</v>
      </c>
      <c r="H66" s="34">
        <f t="shared" si="1"/>
        <v>0</v>
      </c>
      <c r="I66" s="34">
        <f t="shared" si="2"/>
        <v>0</v>
      </c>
      <c r="J66" s="36" t="str">
        <f t="shared" si="3"/>
        <v/>
      </c>
      <c r="K66" s="36" t="str">
        <f t="shared" si="4"/>
        <v/>
      </c>
      <c r="L66" s="36">
        <f t="shared" si="5"/>
        <v>0</v>
      </c>
      <c r="M66" s="36">
        <f t="shared" si="6"/>
        <v>0</v>
      </c>
      <c r="N66" s="36">
        <f t="shared" si="7"/>
        <v>3131.780745098039</v>
      </c>
      <c r="O66" s="36">
        <f t="shared" si="8"/>
        <v>2682.6224509803919</v>
      </c>
      <c r="P66" s="36">
        <f t="shared" si="9"/>
        <v>5814.4031960784305</v>
      </c>
      <c r="Q66" s="36">
        <f t="shared" si="10"/>
        <v>3131.780745098039</v>
      </c>
      <c r="R66" s="36">
        <f t="shared" si="11"/>
        <v>2682.6224509803919</v>
      </c>
      <c r="S66" s="37">
        <f t="shared" si="12"/>
        <v>5814.4031960784305</v>
      </c>
      <c r="T66">
        <f t="shared" si="13"/>
        <v>5814.4031960784305</v>
      </c>
      <c r="U66">
        <f t="shared" si="14"/>
        <v>5814.4031960784305</v>
      </c>
      <c r="V66">
        <f>IF(AND(settings!$D$4=0,settings!$D$7=0),'Small Dist Weight'!P66,IF(AND(settings!$D$4=0,settings!$D$7=1),T66,IF(AND(settings!$D$4=1,settings!$D$7=0),S66,U66)))</f>
        <v>5814.4031960784305</v>
      </c>
    </row>
    <row r="67" spans="1:22">
      <c r="A67" t="str">
        <f>'Student Enrollment Data'!A69</f>
        <v>274</v>
      </c>
      <c r="B67">
        <f>'Student Enrollment Data'!B69</f>
        <v>274</v>
      </c>
      <c r="C67" t="str">
        <f>'Student Enrollment Data'!C69</f>
        <v>Kootenai Joint School District # 274</v>
      </c>
      <c r="D67">
        <v>0</v>
      </c>
      <c r="E67" s="34">
        <f>IF(settings!$G$4=0,'Student Enrollment Data'!BA69,'Student Enrollment Data'!CN69)</f>
        <v>67.5</v>
      </c>
      <c r="F67" s="34">
        <f>IF(settings!$G$4=0,'Student Enrollment Data'!BB69,'Student Enrollment Data'!CO69)</f>
        <v>100</v>
      </c>
      <c r="G67" s="34">
        <f t="shared" ref="G67:G130" si="15">IF(E67&lt;$X$5,1,0)</f>
        <v>1</v>
      </c>
      <c r="H67" s="34">
        <f t="shared" ref="H67:H130" si="16">IF(F67&lt;$X$6,1,0)</f>
        <v>1</v>
      </c>
      <c r="I67" s="34">
        <f t="shared" ref="I67:I130" si="17">IF(SUM(G67:H67)=2,1,0)</f>
        <v>1</v>
      </c>
      <c r="J67" s="36">
        <f t="shared" ref="J67:J130" si="18">IF(E67&lt;=$AA$5,1+$Y$5,IF(G67=1,1+($Y$5-(E67*($Y$5/$X$5))),""))</f>
        <v>1.8352272727272727</v>
      </c>
      <c r="K67" s="36">
        <f t="shared" ref="K67:K130" si="19">IF(F67&lt;=$AA$6,1+$Y$6,IF(H67=1,1+($Y$6-(F67*($Y$6/$X$6))),""))</f>
        <v>1.9293103448275861</v>
      </c>
      <c r="L67" s="36">
        <f t="shared" ref="L67:L130" si="20">IF(E67&lt;=$AA$5,1+$Y$10,IF(AND(E67&gt;=$Z$10,E67&lt;$X$10),1-$AA$10+($AA$11-(E67*$AB$10)),IF(AND(E67&lt;$Z$11,E67&lt;$X$11),1+$AA$10+($AA$11-(E67*$AB$11)),0)))</f>
        <v>1.727840909090909</v>
      </c>
      <c r="M67" s="36">
        <f t="shared" ref="M67:M130" si="21">IF(F67&lt;+$AA$6,1+$Y$12,IF(AND(F67&gt;=$Z$12,F67&lt;$X$12),1-$AA$12+($AA$13-(F67*$AB$12)),IF(AND(F67&lt;$Z$13,F67&lt;$X$13),1+$AA$12+($AA$13-(F67*$AB$13)),0)))</f>
        <v>1.8689655172413793</v>
      </c>
      <c r="N67" s="36">
        <f t="shared" ref="N67:N130" si="22">IF(G67=1,J67*E67,E67)</f>
        <v>123.87784090909091</v>
      </c>
      <c r="O67" s="36">
        <f t="shared" ref="O67:O130" si="23">IF(H67=1,K67*F67,F67)</f>
        <v>192.93103448275861</v>
      </c>
      <c r="P67" s="36">
        <f t="shared" ref="P67:P130" si="24">SUM(N67:O67)</f>
        <v>316.80887539184948</v>
      </c>
      <c r="Q67" s="36">
        <f t="shared" ref="Q67:Q130" si="25">IF(G67=1,E67*L67,E67)</f>
        <v>116.62926136363636</v>
      </c>
      <c r="R67" s="36">
        <f t="shared" ref="R67:R130" si="26">IF(H67=1,F67*M67,F67)</f>
        <v>186.89655172413794</v>
      </c>
      <c r="S67" s="37">
        <f t="shared" ref="S67:S130" si="27">SUM(Q67:R67)</f>
        <v>303.52581308777428</v>
      </c>
      <c r="T67">
        <f t="shared" ref="T67:T130" si="28">IF(D67=0,P67,E67+F67)</f>
        <v>316.80887539184948</v>
      </c>
      <c r="U67">
        <f t="shared" ref="U67:U130" si="29">IF(D67=0,S67,E67+F67)</f>
        <v>303.52581308777428</v>
      </c>
      <c r="V67">
        <f>IF(AND(settings!$D$4=0,settings!$D$7=0),'Small Dist Weight'!P67,IF(AND(settings!$D$4=0,settings!$D$7=1),T67,IF(AND(settings!$D$4=1,settings!$D$7=0),S67,U67)))</f>
        <v>303.52581308777428</v>
      </c>
    </row>
    <row r="68" spans="1:22">
      <c r="A68" t="str">
        <f>'Student Enrollment Data'!A70</f>
        <v>281</v>
      </c>
      <c r="B68">
        <f>'Student Enrollment Data'!B70</f>
        <v>281</v>
      </c>
      <c r="C68" t="str">
        <f>'Student Enrollment Data'!C70</f>
        <v>Moscow School District # 281</v>
      </c>
      <c r="D68">
        <v>0</v>
      </c>
      <c r="E68" s="34">
        <f>IF(settings!$G$4=0,'Student Enrollment Data'!BA70,'Student Enrollment Data'!CN70)</f>
        <v>1098</v>
      </c>
      <c r="F68" s="34">
        <f>IF(settings!$G$4=0,'Student Enrollment Data'!BB70,'Student Enrollment Data'!CO70)</f>
        <v>1147</v>
      </c>
      <c r="G68" s="34">
        <f t="shared" si="15"/>
        <v>0</v>
      </c>
      <c r="H68" s="34">
        <f t="shared" si="16"/>
        <v>0</v>
      </c>
      <c r="I68" s="34">
        <f t="shared" si="17"/>
        <v>0</v>
      </c>
      <c r="J68" s="36" t="str">
        <f t="shared" si="18"/>
        <v/>
      </c>
      <c r="K68" s="36" t="str">
        <f t="shared" si="19"/>
        <v/>
      </c>
      <c r="L68" s="36">
        <f t="shared" si="20"/>
        <v>0</v>
      </c>
      <c r="M68" s="36">
        <f t="shared" si="21"/>
        <v>0</v>
      </c>
      <c r="N68" s="36">
        <f t="shared" si="22"/>
        <v>1098</v>
      </c>
      <c r="O68" s="36">
        <f t="shared" si="23"/>
        <v>1147</v>
      </c>
      <c r="P68" s="36">
        <f t="shared" si="24"/>
        <v>2245</v>
      </c>
      <c r="Q68" s="36">
        <f t="shared" si="25"/>
        <v>1098</v>
      </c>
      <c r="R68" s="36">
        <f t="shared" si="26"/>
        <v>1147</v>
      </c>
      <c r="S68" s="37">
        <f t="shared" si="27"/>
        <v>2245</v>
      </c>
      <c r="T68">
        <f t="shared" si="28"/>
        <v>2245</v>
      </c>
      <c r="U68">
        <f t="shared" si="29"/>
        <v>2245</v>
      </c>
      <c r="V68">
        <f>IF(AND(settings!$D$4=0,settings!$D$7=0),'Small Dist Weight'!P68,IF(AND(settings!$D$4=0,settings!$D$7=1),T68,IF(AND(settings!$D$4=1,settings!$D$7=0),S68,U68)))</f>
        <v>2245</v>
      </c>
    </row>
    <row r="69" spans="1:22">
      <c r="A69" t="str">
        <f>'Student Enrollment Data'!A71</f>
        <v>282</v>
      </c>
      <c r="B69">
        <f>'Student Enrollment Data'!B71</f>
        <v>282</v>
      </c>
      <c r="C69" t="str">
        <f>'Student Enrollment Data'!C71</f>
        <v>Genesee Joint School District # 282</v>
      </c>
      <c r="D69">
        <v>0</v>
      </c>
      <c r="E69" s="34">
        <f>IF(settings!$G$4=0,'Student Enrollment Data'!BA71,'Student Enrollment Data'!CN71)</f>
        <v>135</v>
      </c>
      <c r="F69" s="34">
        <f>IF(settings!$G$4=0,'Student Enrollment Data'!BB71,'Student Enrollment Data'!CO71)</f>
        <v>147</v>
      </c>
      <c r="G69" s="34">
        <f t="shared" si="15"/>
        <v>1</v>
      </c>
      <c r="H69" s="34">
        <f t="shared" si="16"/>
        <v>1</v>
      </c>
      <c r="I69" s="34">
        <f t="shared" si="17"/>
        <v>1</v>
      </c>
      <c r="J69" s="36">
        <f t="shared" si="18"/>
        <v>1.6204545454545456</v>
      </c>
      <c r="K69" s="36">
        <f t="shared" si="19"/>
        <v>1.8725862068965518</v>
      </c>
      <c r="L69" s="36">
        <f t="shared" si="20"/>
        <v>1.4056818181818183</v>
      </c>
      <c r="M69" s="36">
        <f t="shared" si="21"/>
        <v>1.7838793103448276</v>
      </c>
      <c r="N69" s="36">
        <f t="shared" si="22"/>
        <v>218.76136363636365</v>
      </c>
      <c r="O69" s="36">
        <f t="shared" si="23"/>
        <v>275.27017241379309</v>
      </c>
      <c r="P69" s="36">
        <f t="shared" si="24"/>
        <v>494.03153605015677</v>
      </c>
      <c r="Q69" s="36">
        <f t="shared" si="25"/>
        <v>189.76704545454547</v>
      </c>
      <c r="R69" s="36">
        <f t="shared" si="26"/>
        <v>262.23025862068965</v>
      </c>
      <c r="S69" s="37">
        <f t="shared" si="27"/>
        <v>451.99730407523509</v>
      </c>
      <c r="T69">
        <f t="shared" si="28"/>
        <v>494.03153605015677</v>
      </c>
      <c r="U69">
        <f t="shared" si="29"/>
        <v>451.99730407523509</v>
      </c>
      <c r="V69">
        <f>IF(AND(settings!$D$4=0,settings!$D$7=0),'Small Dist Weight'!P69,IF(AND(settings!$D$4=0,settings!$D$7=1),T69,IF(AND(settings!$D$4=1,settings!$D$7=0),S69,U69)))</f>
        <v>451.99730407523509</v>
      </c>
    </row>
    <row r="70" spans="1:22">
      <c r="A70" t="str">
        <f>'Student Enrollment Data'!A72</f>
        <v>283</v>
      </c>
      <c r="B70">
        <f>'Student Enrollment Data'!B72</f>
        <v>283</v>
      </c>
      <c r="C70" t="str">
        <f>'Student Enrollment Data'!C72</f>
        <v>Kendrick Joint School District # 283</v>
      </c>
      <c r="D70">
        <v>0</v>
      </c>
      <c r="E70" s="34">
        <f>IF(settings!$G$4=0,'Student Enrollment Data'!BA72,'Student Enrollment Data'!CN72)</f>
        <v>128</v>
      </c>
      <c r="F70" s="34">
        <f>IF(settings!$G$4=0,'Student Enrollment Data'!BB72,'Student Enrollment Data'!CO72)</f>
        <v>100</v>
      </c>
      <c r="G70" s="34">
        <f t="shared" si="15"/>
        <v>1</v>
      </c>
      <c r="H70" s="34">
        <f t="shared" si="16"/>
        <v>1</v>
      </c>
      <c r="I70" s="34">
        <f t="shared" si="17"/>
        <v>1</v>
      </c>
      <c r="J70" s="36">
        <f t="shared" si="18"/>
        <v>1.6427272727272728</v>
      </c>
      <c r="K70" s="36">
        <f t="shared" si="19"/>
        <v>1.9293103448275861</v>
      </c>
      <c r="L70" s="36">
        <f t="shared" si="20"/>
        <v>1.439090909090909</v>
      </c>
      <c r="M70" s="36">
        <f t="shared" si="21"/>
        <v>1.8689655172413793</v>
      </c>
      <c r="N70" s="36">
        <f t="shared" si="22"/>
        <v>210.26909090909092</v>
      </c>
      <c r="O70" s="36">
        <f t="shared" si="23"/>
        <v>192.93103448275861</v>
      </c>
      <c r="P70" s="36">
        <f t="shared" si="24"/>
        <v>403.2001253918495</v>
      </c>
      <c r="Q70" s="36">
        <f t="shared" si="25"/>
        <v>184.20363636363635</v>
      </c>
      <c r="R70" s="36">
        <f t="shared" si="26"/>
        <v>186.89655172413794</v>
      </c>
      <c r="S70" s="37">
        <f t="shared" si="27"/>
        <v>371.10018808777431</v>
      </c>
      <c r="T70">
        <f t="shared" si="28"/>
        <v>403.2001253918495</v>
      </c>
      <c r="U70">
        <f t="shared" si="29"/>
        <v>371.10018808777431</v>
      </c>
      <c r="V70">
        <f>IF(AND(settings!$D$4=0,settings!$D$7=0),'Small Dist Weight'!P70,IF(AND(settings!$D$4=0,settings!$D$7=1),T70,IF(AND(settings!$D$4=1,settings!$D$7=0),S70,U70)))</f>
        <v>371.10018808777431</v>
      </c>
    </row>
    <row r="71" spans="1:22">
      <c r="A71" t="str">
        <f>'Student Enrollment Data'!A73</f>
        <v>285</v>
      </c>
      <c r="B71">
        <f>'Student Enrollment Data'!B73</f>
        <v>285</v>
      </c>
      <c r="C71" t="str">
        <f>'Student Enrollment Data'!C73</f>
        <v>Potlatch School District # 285</v>
      </c>
      <c r="D71">
        <v>0</v>
      </c>
      <c r="E71" s="34">
        <f>IF(settings!$G$4=0,'Student Enrollment Data'!BA73,'Student Enrollment Data'!CN73)</f>
        <v>231.5</v>
      </c>
      <c r="F71" s="34">
        <f>IF(settings!$G$4=0,'Student Enrollment Data'!BB73,'Student Enrollment Data'!CO73)</f>
        <v>215</v>
      </c>
      <c r="G71" s="34">
        <f t="shared" si="15"/>
        <v>1</v>
      </c>
      <c r="H71" s="34">
        <f t="shared" si="16"/>
        <v>1</v>
      </c>
      <c r="I71" s="34">
        <f t="shared" si="17"/>
        <v>1</v>
      </c>
      <c r="J71" s="36">
        <f t="shared" si="18"/>
        <v>1.313409090909091</v>
      </c>
      <c r="K71" s="36">
        <f t="shared" si="19"/>
        <v>1.7905172413793105</v>
      </c>
      <c r="L71" s="36">
        <f t="shared" si="20"/>
        <v>1.1567045454545455</v>
      </c>
      <c r="M71" s="36">
        <f t="shared" si="21"/>
        <v>1.6607758620689657</v>
      </c>
      <c r="N71" s="36">
        <f t="shared" si="22"/>
        <v>304.05420454545458</v>
      </c>
      <c r="O71" s="36">
        <f t="shared" si="23"/>
        <v>384.96120689655174</v>
      </c>
      <c r="P71" s="36">
        <f t="shared" si="24"/>
        <v>689.01541144200633</v>
      </c>
      <c r="Q71" s="36">
        <f t="shared" si="25"/>
        <v>267.77710227272729</v>
      </c>
      <c r="R71" s="36">
        <f t="shared" si="26"/>
        <v>357.06681034482762</v>
      </c>
      <c r="S71" s="37">
        <f t="shared" si="27"/>
        <v>624.84391261755491</v>
      </c>
      <c r="T71">
        <f t="shared" si="28"/>
        <v>689.01541144200633</v>
      </c>
      <c r="U71">
        <f t="shared" si="29"/>
        <v>624.84391261755491</v>
      </c>
      <c r="V71">
        <f>IF(AND(settings!$D$4=0,settings!$D$7=0),'Small Dist Weight'!P71,IF(AND(settings!$D$4=0,settings!$D$7=1),T71,IF(AND(settings!$D$4=1,settings!$D$7=0),S71,U71)))</f>
        <v>624.84391261755491</v>
      </c>
    </row>
    <row r="72" spans="1:22">
      <c r="A72" t="str">
        <f>'Student Enrollment Data'!A74</f>
        <v>287</v>
      </c>
      <c r="B72">
        <f>'Student Enrollment Data'!B74</f>
        <v>287</v>
      </c>
      <c r="C72" t="str">
        <f>'Student Enrollment Data'!C74</f>
        <v>Troy  School District # 287</v>
      </c>
      <c r="D72">
        <v>0</v>
      </c>
      <c r="E72" s="34">
        <f>IF(settings!$G$4=0,'Student Enrollment Data'!BA74,'Student Enrollment Data'!CN74)</f>
        <v>130.5</v>
      </c>
      <c r="F72" s="34">
        <f>IF(settings!$G$4=0,'Student Enrollment Data'!BB74,'Student Enrollment Data'!CO74)</f>
        <v>131</v>
      </c>
      <c r="G72" s="34">
        <f t="shared" si="15"/>
        <v>1</v>
      </c>
      <c r="H72" s="34">
        <f t="shared" si="16"/>
        <v>1</v>
      </c>
      <c r="I72" s="34">
        <f t="shared" si="17"/>
        <v>1</v>
      </c>
      <c r="J72" s="36">
        <f t="shared" si="18"/>
        <v>1.6347727272727273</v>
      </c>
      <c r="K72" s="36">
        <f t="shared" si="19"/>
        <v>1.891896551724138</v>
      </c>
      <c r="L72" s="36">
        <f t="shared" si="20"/>
        <v>1.427159090909091</v>
      </c>
      <c r="M72" s="36">
        <f t="shared" si="21"/>
        <v>1.8128448275862068</v>
      </c>
      <c r="N72" s="36">
        <f t="shared" si="22"/>
        <v>213.33784090909091</v>
      </c>
      <c r="O72" s="36">
        <f t="shared" si="23"/>
        <v>247.83844827586208</v>
      </c>
      <c r="P72" s="36">
        <f t="shared" si="24"/>
        <v>461.17628918495302</v>
      </c>
      <c r="Q72" s="36">
        <f t="shared" si="25"/>
        <v>186.24426136363638</v>
      </c>
      <c r="R72" s="36">
        <f t="shared" si="26"/>
        <v>237.4826724137931</v>
      </c>
      <c r="S72" s="37">
        <f t="shared" si="27"/>
        <v>423.72693377742951</v>
      </c>
      <c r="T72">
        <f t="shared" si="28"/>
        <v>461.17628918495302</v>
      </c>
      <c r="U72">
        <f t="shared" si="29"/>
        <v>423.72693377742951</v>
      </c>
      <c r="V72">
        <f>IF(AND(settings!$D$4=0,settings!$D$7=0),'Small Dist Weight'!P72,IF(AND(settings!$D$4=0,settings!$D$7=1),T72,IF(AND(settings!$D$4=1,settings!$D$7=0),S72,U72)))</f>
        <v>423.72693377742951</v>
      </c>
    </row>
    <row r="73" spans="1:22">
      <c r="A73" t="str">
        <f>'Student Enrollment Data'!A75</f>
        <v>288</v>
      </c>
      <c r="B73">
        <f>'Student Enrollment Data'!B75</f>
        <v>288</v>
      </c>
      <c r="C73" t="str">
        <f>'Student Enrollment Data'!C75</f>
        <v>Whitepine Joint School District # 288</v>
      </c>
      <c r="D73">
        <v>0</v>
      </c>
      <c r="E73" s="34">
        <f>IF(settings!$G$4=0,'Student Enrollment Data'!BA75,'Student Enrollment Data'!CN75)</f>
        <v>115.5</v>
      </c>
      <c r="F73" s="34">
        <f>IF(settings!$G$4=0,'Student Enrollment Data'!BB75,'Student Enrollment Data'!CO75)</f>
        <v>117</v>
      </c>
      <c r="G73" s="34">
        <f t="shared" si="15"/>
        <v>1</v>
      </c>
      <c r="H73" s="34">
        <f t="shared" si="16"/>
        <v>1</v>
      </c>
      <c r="I73" s="34">
        <f t="shared" si="17"/>
        <v>1</v>
      </c>
      <c r="J73" s="36">
        <f t="shared" si="18"/>
        <v>1.6825000000000001</v>
      </c>
      <c r="K73" s="36">
        <f t="shared" si="19"/>
        <v>1.9087931034482759</v>
      </c>
      <c r="L73" s="36">
        <f t="shared" si="20"/>
        <v>1.49875</v>
      </c>
      <c r="M73" s="36">
        <f t="shared" si="21"/>
        <v>1.8381896551724139</v>
      </c>
      <c r="N73" s="36">
        <f t="shared" si="22"/>
        <v>194.32875000000001</v>
      </c>
      <c r="O73" s="36">
        <f t="shared" si="23"/>
        <v>223.32879310344828</v>
      </c>
      <c r="P73" s="36">
        <f t="shared" si="24"/>
        <v>417.65754310344829</v>
      </c>
      <c r="Q73" s="36">
        <f t="shared" si="25"/>
        <v>173.105625</v>
      </c>
      <c r="R73" s="36">
        <f t="shared" si="26"/>
        <v>215.06818965517243</v>
      </c>
      <c r="S73" s="37">
        <f t="shared" si="27"/>
        <v>388.17381465517246</v>
      </c>
      <c r="T73">
        <f t="shared" si="28"/>
        <v>417.65754310344829</v>
      </c>
      <c r="U73">
        <f t="shared" si="29"/>
        <v>388.17381465517246</v>
      </c>
      <c r="V73">
        <f>IF(AND(settings!$D$4=0,settings!$D$7=0),'Small Dist Weight'!P73,IF(AND(settings!$D$4=0,settings!$D$7=1),T73,IF(AND(settings!$D$4=1,settings!$D$7=0),S73,U73)))</f>
        <v>388.17381465517246</v>
      </c>
    </row>
    <row r="74" spans="1:22">
      <c r="A74" t="str">
        <f>'Student Enrollment Data'!A76</f>
        <v>291</v>
      </c>
      <c r="B74">
        <f>'Student Enrollment Data'!B76</f>
        <v>291</v>
      </c>
      <c r="C74" t="str">
        <f>'Student Enrollment Data'!C76</f>
        <v>Salmon School District # 291</v>
      </c>
      <c r="D74">
        <v>0</v>
      </c>
      <c r="E74" s="34">
        <f>IF(settings!$G$4=0,'Student Enrollment Data'!BA76,'Student Enrollment Data'!CN76)</f>
        <v>355.5</v>
      </c>
      <c r="F74" s="34">
        <f>IF(settings!$G$4=0,'Student Enrollment Data'!BB76,'Student Enrollment Data'!CO76)</f>
        <v>396</v>
      </c>
      <c r="G74" s="34">
        <f t="shared" si="15"/>
        <v>0</v>
      </c>
      <c r="H74" s="34">
        <f t="shared" si="16"/>
        <v>1</v>
      </c>
      <c r="I74" s="34">
        <f t="shared" si="17"/>
        <v>0</v>
      </c>
      <c r="J74" s="36" t="str">
        <f t="shared" si="18"/>
        <v/>
      </c>
      <c r="K74" s="36">
        <f t="shared" si="19"/>
        <v>1.5720689655172415</v>
      </c>
      <c r="L74" s="36">
        <f t="shared" si="20"/>
        <v>0</v>
      </c>
      <c r="M74" s="36">
        <f t="shared" si="21"/>
        <v>1.3331034482758621</v>
      </c>
      <c r="N74" s="36">
        <f t="shared" si="22"/>
        <v>355.5</v>
      </c>
      <c r="O74" s="36">
        <f t="shared" si="23"/>
        <v>622.53931034482764</v>
      </c>
      <c r="P74" s="36">
        <f t="shared" si="24"/>
        <v>978.03931034482764</v>
      </c>
      <c r="Q74" s="36">
        <f t="shared" si="25"/>
        <v>355.5</v>
      </c>
      <c r="R74" s="36">
        <f t="shared" si="26"/>
        <v>527.90896551724143</v>
      </c>
      <c r="S74" s="37">
        <f t="shared" si="27"/>
        <v>883.40896551724143</v>
      </c>
      <c r="T74">
        <f t="shared" si="28"/>
        <v>978.03931034482764</v>
      </c>
      <c r="U74">
        <f t="shared" si="29"/>
        <v>883.40896551724143</v>
      </c>
      <c r="V74">
        <f>IF(AND(settings!$D$4=0,settings!$D$7=0),'Small Dist Weight'!P74,IF(AND(settings!$D$4=0,settings!$D$7=1),T74,IF(AND(settings!$D$4=1,settings!$D$7=0),S74,U74)))</f>
        <v>883.40896551724143</v>
      </c>
    </row>
    <row r="75" spans="1:22">
      <c r="A75" t="str">
        <f>'Student Enrollment Data'!A77</f>
        <v>292</v>
      </c>
      <c r="B75">
        <f>'Student Enrollment Data'!B77</f>
        <v>292</v>
      </c>
      <c r="C75" t="str">
        <f>'Student Enrollment Data'!C77</f>
        <v>South Lemhi School District # 292</v>
      </c>
      <c r="D75">
        <v>0</v>
      </c>
      <c r="E75" s="34">
        <f>IF(settings!$G$4=0,'Student Enrollment Data'!BA77,'Student Enrollment Data'!CN77)</f>
        <v>65.5</v>
      </c>
      <c r="F75" s="34">
        <f>IF(settings!$G$4=0,'Student Enrollment Data'!BB77,'Student Enrollment Data'!CO77)</f>
        <v>100</v>
      </c>
      <c r="G75" s="34">
        <f t="shared" si="15"/>
        <v>1</v>
      </c>
      <c r="H75" s="34">
        <f t="shared" si="16"/>
        <v>1</v>
      </c>
      <c r="I75" s="34">
        <f t="shared" si="17"/>
        <v>1</v>
      </c>
      <c r="J75" s="36">
        <f t="shared" si="18"/>
        <v>1.8415909090909093</v>
      </c>
      <c r="K75" s="36">
        <f t="shared" si="19"/>
        <v>1.9293103448275861</v>
      </c>
      <c r="L75" s="36">
        <f t="shared" si="20"/>
        <v>1.7373863636363636</v>
      </c>
      <c r="M75" s="36">
        <f t="shared" si="21"/>
        <v>1.8689655172413793</v>
      </c>
      <c r="N75" s="36">
        <f t="shared" si="22"/>
        <v>120.62420454545456</v>
      </c>
      <c r="O75" s="36">
        <f t="shared" si="23"/>
        <v>192.93103448275861</v>
      </c>
      <c r="P75" s="36">
        <f t="shared" si="24"/>
        <v>313.55523902821318</v>
      </c>
      <c r="Q75" s="36">
        <f t="shared" si="25"/>
        <v>113.79880681818182</v>
      </c>
      <c r="R75" s="36">
        <f t="shared" si="26"/>
        <v>186.89655172413794</v>
      </c>
      <c r="S75" s="37">
        <f t="shared" si="27"/>
        <v>300.69535854231975</v>
      </c>
      <c r="T75">
        <f t="shared" si="28"/>
        <v>313.55523902821318</v>
      </c>
      <c r="U75">
        <f t="shared" si="29"/>
        <v>300.69535854231975</v>
      </c>
      <c r="V75">
        <f>IF(AND(settings!$D$4=0,settings!$D$7=0),'Small Dist Weight'!P75,IF(AND(settings!$D$4=0,settings!$D$7=1),T75,IF(AND(settings!$D$4=1,settings!$D$7=0),S75,U75)))</f>
        <v>300.69535854231975</v>
      </c>
    </row>
    <row r="76" spans="1:22">
      <c r="A76" t="str">
        <f>'Student Enrollment Data'!A78</f>
        <v>302</v>
      </c>
      <c r="B76">
        <f>'Student Enrollment Data'!B78</f>
        <v>302</v>
      </c>
      <c r="C76" t="str">
        <f>'Student Enrollment Data'!C78</f>
        <v>Nezperce Joint School District # 302</v>
      </c>
      <c r="D76">
        <v>0</v>
      </c>
      <c r="E76" s="34">
        <f>IF(settings!$G$4=0,'Student Enrollment Data'!BA78,'Student Enrollment Data'!CN78)</f>
        <v>73</v>
      </c>
      <c r="F76" s="34">
        <f>IF(settings!$G$4=0,'Student Enrollment Data'!BB78,'Student Enrollment Data'!CO78)</f>
        <v>100</v>
      </c>
      <c r="G76" s="34">
        <f t="shared" si="15"/>
        <v>1</v>
      </c>
      <c r="H76" s="34">
        <f t="shared" si="16"/>
        <v>1</v>
      </c>
      <c r="I76" s="34">
        <f t="shared" si="17"/>
        <v>1</v>
      </c>
      <c r="J76" s="36">
        <f t="shared" si="18"/>
        <v>1.8177272727272729</v>
      </c>
      <c r="K76" s="36">
        <f t="shared" si="19"/>
        <v>1.9293103448275861</v>
      </c>
      <c r="L76" s="36">
        <f t="shared" si="20"/>
        <v>1.7015909090909092</v>
      </c>
      <c r="M76" s="36">
        <f t="shared" si="21"/>
        <v>1.8689655172413793</v>
      </c>
      <c r="N76" s="36">
        <f t="shared" si="22"/>
        <v>132.69409090909093</v>
      </c>
      <c r="O76" s="36">
        <f t="shared" si="23"/>
        <v>192.93103448275861</v>
      </c>
      <c r="P76" s="36">
        <f t="shared" si="24"/>
        <v>325.62512539184956</v>
      </c>
      <c r="Q76" s="36">
        <f t="shared" si="25"/>
        <v>124.21613636363637</v>
      </c>
      <c r="R76" s="36">
        <f t="shared" si="26"/>
        <v>186.89655172413794</v>
      </c>
      <c r="S76" s="37">
        <f t="shared" si="27"/>
        <v>311.1126880877743</v>
      </c>
      <c r="T76">
        <f t="shared" si="28"/>
        <v>325.62512539184956</v>
      </c>
      <c r="U76">
        <f t="shared" si="29"/>
        <v>311.1126880877743</v>
      </c>
      <c r="V76">
        <f>IF(AND(settings!$D$4=0,settings!$D$7=0),'Small Dist Weight'!P76,IF(AND(settings!$D$4=0,settings!$D$7=1),T76,IF(AND(settings!$D$4=1,settings!$D$7=0),S76,U76)))</f>
        <v>311.1126880877743</v>
      </c>
    </row>
    <row r="77" spans="1:22">
      <c r="A77" t="str">
        <f>'Student Enrollment Data'!A79</f>
        <v>304</v>
      </c>
      <c r="B77">
        <f>'Student Enrollment Data'!B79</f>
        <v>304</v>
      </c>
      <c r="C77" t="str">
        <f>'Student Enrollment Data'!C79</f>
        <v>Kamiah Joint School District # 304</v>
      </c>
      <c r="D77">
        <v>0</v>
      </c>
      <c r="E77" s="34">
        <f>IF(settings!$G$4=0,'Student Enrollment Data'!BA79,'Student Enrollment Data'!CN79)</f>
        <v>186</v>
      </c>
      <c r="F77" s="34">
        <f>IF(settings!$G$4=0,'Student Enrollment Data'!BB79,'Student Enrollment Data'!CO79)</f>
        <v>221</v>
      </c>
      <c r="G77" s="34">
        <f t="shared" si="15"/>
        <v>1</v>
      </c>
      <c r="H77" s="34">
        <f t="shared" si="16"/>
        <v>1</v>
      </c>
      <c r="I77" s="34">
        <f t="shared" si="17"/>
        <v>1</v>
      </c>
      <c r="J77" s="36">
        <f t="shared" si="18"/>
        <v>1.4581818181818182</v>
      </c>
      <c r="K77" s="36">
        <f t="shared" si="19"/>
        <v>1.7832758620689655</v>
      </c>
      <c r="L77" s="36">
        <f t="shared" si="20"/>
        <v>1.2290909090909092</v>
      </c>
      <c r="M77" s="36">
        <f t="shared" si="21"/>
        <v>1.6499137931034484</v>
      </c>
      <c r="N77" s="36">
        <f t="shared" si="22"/>
        <v>271.22181818181821</v>
      </c>
      <c r="O77" s="36">
        <f t="shared" si="23"/>
        <v>394.10396551724136</v>
      </c>
      <c r="P77" s="36">
        <f t="shared" si="24"/>
        <v>665.32578369905957</v>
      </c>
      <c r="Q77" s="36">
        <f t="shared" si="25"/>
        <v>228.6109090909091</v>
      </c>
      <c r="R77" s="36">
        <f t="shared" si="26"/>
        <v>364.63094827586212</v>
      </c>
      <c r="S77" s="37">
        <f t="shared" si="27"/>
        <v>593.24185736677123</v>
      </c>
      <c r="T77">
        <f t="shared" si="28"/>
        <v>665.32578369905957</v>
      </c>
      <c r="U77">
        <f t="shared" si="29"/>
        <v>593.24185736677123</v>
      </c>
      <c r="V77">
        <f>IF(AND(settings!$D$4=0,settings!$D$7=0),'Small Dist Weight'!P77,IF(AND(settings!$D$4=0,settings!$D$7=1),T77,IF(AND(settings!$D$4=1,settings!$D$7=0),S77,U77)))</f>
        <v>593.24185736677123</v>
      </c>
    </row>
    <row r="78" spans="1:22">
      <c r="A78" t="str">
        <f>'Student Enrollment Data'!A80</f>
        <v>305</v>
      </c>
      <c r="B78">
        <f>'Student Enrollment Data'!B80</f>
        <v>305</v>
      </c>
      <c r="C78" t="str">
        <f>'Student Enrollment Data'!C80</f>
        <v>Highland Joint School District # 305</v>
      </c>
      <c r="D78">
        <v>0</v>
      </c>
      <c r="E78" s="34">
        <f>IF(settings!$G$4=0,'Student Enrollment Data'!BA80,'Student Enrollment Data'!CN80)</f>
        <v>84</v>
      </c>
      <c r="F78" s="34">
        <f>IF(settings!$G$4=0,'Student Enrollment Data'!BB80,'Student Enrollment Data'!CO80)</f>
        <v>100</v>
      </c>
      <c r="G78" s="34">
        <f t="shared" si="15"/>
        <v>1</v>
      </c>
      <c r="H78" s="34">
        <f t="shared" si="16"/>
        <v>1</v>
      </c>
      <c r="I78" s="34">
        <f t="shared" si="17"/>
        <v>1</v>
      </c>
      <c r="J78" s="36">
        <f t="shared" si="18"/>
        <v>1.7827272727272727</v>
      </c>
      <c r="K78" s="36">
        <f t="shared" si="19"/>
        <v>1.9293103448275861</v>
      </c>
      <c r="L78" s="36">
        <f t="shared" si="20"/>
        <v>1.6490909090909092</v>
      </c>
      <c r="M78" s="36">
        <f t="shared" si="21"/>
        <v>1.8689655172413793</v>
      </c>
      <c r="N78" s="36">
        <f t="shared" si="22"/>
        <v>149.74909090909091</v>
      </c>
      <c r="O78" s="36">
        <f t="shared" si="23"/>
        <v>192.93103448275861</v>
      </c>
      <c r="P78" s="36">
        <f t="shared" si="24"/>
        <v>342.68012539184951</v>
      </c>
      <c r="Q78" s="36">
        <f t="shared" si="25"/>
        <v>138.52363636363637</v>
      </c>
      <c r="R78" s="36">
        <f t="shared" si="26"/>
        <v>186.89655172413794</v>
      </c>
      <c r="S78" s="37">
        <f t="shared" si="27"/>
        <v>325.42018808777431</v>
      </c>
      <c r="T78">
        <f t="shared" si="28"/>
        <v>342.68012539184951</v>
      </c>
      <c r="U78">
        <f t="shared" si="29"/>
        <v>325.42018808777431</v>
      </c>
      <c r="V78">
        <f>IF(AND(settings!$D$4=0,settings!$D$7=0),'Small Dist Weight'!P78,IF(AND(settings!$D$4=0,settings!$D$7=1),T78,IF(AND(settings!$D$4=1,settings!$D$7=0),S78,U78)))</f>
        <v>325.42018808777431</v>
      </c>
    </row>
    <row r="79" spans="1:22">
      <c r="A79" t="str">
        <f>'Student Enrollment Data'!A81</f>
        <v>312</v>
      </c>
      <c r="B79">
        <f>'Student Enrollment Data'!B81</f>
        <v>312</v>
      </c>
      <c r="C79" t="str">
        <f>'Student Enrollment Data'!C81</f>
        <v>Shoshone Joint School District # 312</v>
      </c>
      <c r="D79">
        <v>0</v>
      </c>
      <c r="E79" s="34">
        <f>IF(settings!$G$4=0,'Student Enrollment Data'!BA81,'Student Enrollment Data'!CN81)</f>
        <v>249.5</v>
      </c>
      <c r="F79" s="34">
        <f>IF(settings!$G$4=0,'Student Enrollment Data'!BB81,'Student Enrollment Data'!CO81)</f>
        <v>229</v>
      </c>
      <c r="G79" s="34">
        <f t="shared" si="15"/>
        <v>1</v>
      </c>
      <c r="H79" s="34">
        <f t="shared" si="16"/>
        <v>1</v>
      </c>
      <c r="I79" s="34">
        <f t="shared" si="17"/>
        <v>1</v>
      </c>
      <c r="J79" s="36">
        <f t="shared" si="18"/>
        <v>1.2561363636363636</v>
      </c>
      <c r="K79" s="36">
        <f t="shared" si="19"/>
        <v>1.7736206896551725</v>
      </c>
      <c r="L79" s="36">
        <f t="shared" si="20"/>
        <v>1.1280681818181819</v>
      </c>
      <c r="M79" s="36">
        <f t="shared" si="21"/>
        <v>1.6354310344827585</v>
      </c>
      <c r="N79" s="36">
        <f t="shared" si="22"/>
        <v>313.40602272727273</v>
      </c>
      <c r="O79" s="36">
        <f t="shared" si="23"/>
        <v>406.15913793103448</v>
      </c>
      <c r="P79" s="36">
        <f t="shared" si="24"/>
        <v>719.56516065830715</v>
      </c>
      <c r="Q79" s="36">
        <f t="shared" si="25"/>
        <v>281.45301136363639</v>
      </c>
      <c r="R79" s="36">
        <f t="shared" si="26"/>
        <v>374.5137068965517</v>
      </c>
      <c r="S79" s="37">
        <f t="shared" si="27"/>
        <v>655.96671826018814</v>
      </c>
      <c r="T79">
        <f t="shared" si="28"/>
        <v>719.56516065830715</v>
      </c>
      <c r="U79">
        <f t="shared" si="29"/>
        <v>655.96671826018814</v>
      </c>
      <c r="V79">
        <f>IF(AND(settings!$D$4=0,settings!$D$7=0),'Small Dist Weight'!P79,IF(AND(settings!$D$4=0,settings!$D$7=1),T79,IF(AND(settings!$D$4=1,settings!$D$7=0),S79,U79)))</f>
        <v>655.96671826018814</v>
      </c>
    </row>
    <row r="80" spans="1:22">
      <c r="A80" t="str">
        <f>'Student Enrollment Data'!A82</f>
        <v>314</v>
      </c>
      <c r="B80">
        <f>'Student Enrollment Data'!B82</f>
        <v>314</v>
      </c>
      <c r="C80" t="str">
        <f>'Student Enrollment Data'!C82</f>
        <v>Dietrich School District # 314</v>
      </c>
      <c r="D80">
        <v>0</v>
      </c>
      <c r="E80" s="34">
        <f>IF(settings!$G$4=0,'Student Enrollment Data'!BA82,'Student Enrollment Data'!CN82)</f>
        <v>105</v>
      </c>
      <c r="F80" s="34">
        <f>IF(settings!$G$4=0,'Student Enrollment Data'!BB82,'Student Enrollment Data'!CO82)</f>
        <v>100</v>
      </c>
      <c r="G80" s="34">
        <f t="shared" si="15"/>
        <v>1</v>
      </c>
      <c r="H80" s="34">
        <f t="shared" si="16"/>
        <v>1</v>
      </c>
      <c r="I80" s="34">
        <f t="shared" si="17"/>
        <v>1</v>
      </c>
      <c r="J80" s="36">
        <f t="shared" si="18"/>
        <v>1.7159090909090908</v>
      </c>
      <c r="K80" s="36">
        <f t="shared" si="19"/>
        <v>1.9293103448275861</v>
      </c>
      <c r="L80" s="36">
        <f t="shared" si="20"/>
        <v>1.5488636363636363</v>
      </c>
      <c r="M80" s="36">
        <f t="shared" si="21"/>
        <v>1.8689655172413793</v>
      </c>
      <c r="N80" s="36">
        <f t="shared" si="22"/>
        <v>180.17045454545453</v>
      </c>
      <c r="O80" s="36">
        <f t="shared" si="23"/>
        <v>192.93103448275861</v>
      </c>
      <c r="P80" s="36">
        <f t="shared" si="24"/>
        <v>373.10148902821311</v>
      </c>
      <c r="Q80" s="36">
        <f t="shared" si="25"/>
        <v>162.63068181818181</v>
      </c>
      <c r="R80" s="36">
        <f t="shared" si="26"/>
        <v>186.89655172413794</v>
      </c>
      <c r="S80" s="37">
        <f t="shared" si="27"/>
        <v>349.52723354231978</v>
      </c>
      <c r="T80">
        <f t="shared" si="28"/>
        <v>373.10148902821311</v>
      </c>
      <c r="U80">
        <f t="shared" si="29"/>
        <v>349.52723354231978</v>
      </c>
      <c r="V80">
        <f>IF(AND(settings!$D$4=0,settings!$D$7=0),'Small Dist Weight'!P80,IF(AND(settings!$D$4=0,settings!$D$7=1),T80,IF(AND(settings!$D$4=1,settings!$D$7=0),S80,U80)))</f>
        <v>349.52723354231978</v>
      </c>
    </row>
    <row r="81" spans="1:22">
      <c r="A81" t="str">
        <f>'Student Enrollment Data'!A83</f>
        <v>316</v>
      </c>
      <c r="B81">
        <f>'Student Enrollment Data'!B83</f>
        <v>316</v>
      </c>
      <c r="C81" t="str">
        <f>'Student Enrollment Data'!C83</f>
        <v>Richfield School District # 316</v>
      </c>
      <c r="D81">
        <v>0</v>
      </c>
      <c r="E81" s="34">
        <f>IF(settings!$G$4=0,'Student Enrollment Data'!BA83,'Student Enrollment Data'!CN83)</f>
        <v>105</v>
      </c>
      <c r="F81" s="34">
        <f>IF(settings!$G$4=0,'Student Enrollment Data'!BB83,'Student Enrollment Data'!CO83)</f>
        <v>100</v>
      </c>
      <c r="G81" s="34">
        <f t="shared" si="15"/>
        <v>1</v>
      </c>
      <c r="H81" s="34">
        <f t="shared" si="16"/>
        <v>1</v>
      </c>
      <c r="I81" s="34">
        <f t="shared" si="17"/>
        <v>1</v>
      </c>
      <c r="J81" s="36">
        <f t="shared" si="18"/>
        <v>1.7159090909090908</v>
      </c>
      <c r="K81" s="36">
        <f t="shared" si="19"/>
        <v>1.9293103448275861</v>
      </c>
      <c r="L81" s="36">
        <f t="shared" si="20"/>
        <v>1.5488636363636363</v>
      </c>
      <c r="M81" s="36">
        <f t="shared" si="21"/>
        <v>1.8689655172413793</v>
      </c>
      <c r="N81" s="36">
        <f t="shared" si="22"/>
        <v>180.17045454545453</v>
      </c>
      <c r="O81" s="36">
        <f t="shared" si="23"/>
        <v>192.93103448275861</v>
      </c>
      <c r="P81" s="36">
        <f t="shared" si="24"/>
        <v>373.10148902821311</v>
      </c>
      <c r="Q81" s="36">
        <f t="shared" si="25"/>
        <v>162.63068181818181</v>
      </c>
      <c r="R81" s="36">
        <f t="shared" si="26"/>
        <v>186.89655172413794</v>
      </c>
      <c r="S81" s="37">
        <f t="shared" si="27"/>
        <v>349.52723354231978</v>
      </c>
      <c r="T81">
        <f t="shared" si="28"/>
        <v>373.10148902821311</v>
      </c>
      <c r="U81">
        <f t="shared" si="29"/>
        <v>349.52723354231978</v>
      </c>
      <c r="V81">
        <f>IF(AND(settings!$D$4=0,settings!$D$7=0),'Small Dist Weight'!P81,IF(AND(settings!$D$4=0,settings!$D$7=1),T81,IF(AND(settings!$D$4=1,settings!$D$7=0),S81,U81)))</f>
        <v>349.52723354231978</v>
      </c>
    </row>
    <row r="82" spans="1:22">
      <c r="A82" t="str">
        <f>'Student Enrollment Data'!A84</f>
        <v>321</v>
      </c>
      <c r="B82">
        <f>'Student Enrollment Data'!B84</f>
        <v>321</v>
      </c>
      <c r="C82" t="str">
        <f>'Student Enrollment Data'!C84</f>
        <v>Madison School District # 321</v>
      </c>
      <c r="D82">
        <v>0</v>
      </c>
      <c r="E82" s="34">
        <f>IF(settings!$G$4=0,'Student Enrollment Data'!BA84,'Student Enrollment Data'!CN84)</f>
        <v>2534</v>
      </c>
      <c r="F82" s="34">
        <f>IF(settings!$G$4=0,'Student Enrollment Data'!BB84,'Student Enrollment Data'!CO84)</f>
        <v>2473.478431372549</v>
      </c>
      <c r="G82" s="34">
        <f t="shared" si="15"/>
        <v>0</v>
      </c>
      <c r="H82" s="34">
        <f t="shared" si="16"/>
        <v>0</v>
      </c>
      <c r="I82" s="34">
        <f t="shared" si="17"/>
        <v>0</v>
      </c>
      <c r="J82" s="36" t="str">
        <f t="shared" si="18"/>
        <v/>
      </c>
      <c r="K82" s="36" t="str">
        <f t="shared" si="19"/>
        <v/>
      </c>
      <c r="L82" s="36">
        <f t="shared" si="20"/>
        <v>0</v>
      </c>
      <c r="M82" s="36">
        <f t="shared" si="21"/>
        <v>0</v>
      </c>
      <c r="N82" s="36">
        <f t="shared" si="22"/>
        <v>2534</v>
      </c>
      <c r="O82" s="36">
        <f t="shared" si="23"/>
        <v>2473.478431372549</v>
      </c>
      <c r="P82" s="36">
        <f t="shared" si="24"/>
        <v>5007.4784313725486</v>
      </c>
      <c r="Q82" s="36">
        <f t="shared" si="25"/>
        <v>2534</v>
      </c>
      <c r="R82" s="36">
        <f t="shared" si="26"/>
        <v>2473.478431372549</v>
      </c>
      <c r="S82" s="37">
        <f t="shared" si="27"/>
        <v>5007.4784313725486</v>
      </c>
      <c r="T82">
        <f t="shared" si="28"/>
        <v>5007.4784313725486</v>
      </c>
      <c r="U82">
        <f t="shared" si="29"/>
        <v>5007.4784313725486</v>
      </c>
      <c r="V82">
        <f>IF(AND(settings!$D$4=0,settings!$D$7=0),'Small Dist Weight'!P82,IF(AND(settings!$D$4=0,settings!$D$7=1),T82,IF(AND(settings!$D$4=1,settings!$D$7=0),S82,U82)))</f>
        <v>5007.4784313725486</v>
      </c>
    </row>
    <row r="83" spans="1:22">
      <c r="A83" t="str">
        <f>'Student Enrollment Data'!A85</f>
        <v>322</v>
      </c>
      <c r="B83">
        <f>'Student Enrollment Data'!B85</f>
        <v>322</v>
      </c>
      <c r="C83" t="str">
        <f>'Student Enrollment Data'!C85</f>
        <v>Sugar-Salem Joint School District # 322</v>
      </c>
      <c r="D83">
        <v>0</v>
      </c>
      <c r="E83" s="34">
        <f>IF(settings!$G$4=0,'Student Enrollment Data'!BA85,'Student Enrollment Data'!CN85)</f>
        <v>749</v>
      </c>
      <c r="F83" s="34">
        <f>IF(settings!$G$4=0,'Student Enrollment Data'!BB85,'Student Enrollment Data'!CO85)</f>
        <v>810</v>
      </c>
      <c r="G83" s="34">
        <f t="shared" si="15"/>
        <v>0</v>
      </c>
      <c r="H83" s="34">
        <f t="shared" si="16"/>
        <v>1</v>
      </c>
      <c r="I83" s="34">
        <f t="shared" si="17"/>
        <v>0</v>
      </c>
      <c r="J83" s="36" t="str">
        <f t="shared" si="18"/>
        <v/>
      </c>
      <c r="K83" s="36">
        <f t="shared" si="19"/>
        <v>1.0724137931034483</v>
      </c>
      <c r="L83" s="36">
        <f t="shared" si="20"/>
        <v>0</v>
      </c>
      <c r="M83" s="36">
        <f t="shared" si="21"/>
        <v>1.0362068965517244</v>
      </c>
      <c r="N83" s="36">
        <f t="shared" si="22"/>
        <v>749</v>
      </c>
      <c r="O83" s="36">
        <f t="shared" si="23"/>
        <v>868.65517241379314</v>
      </c>
      <c r="P83" s="36">
        <f t="shared" si="24"/>
        <v>1617.655172413793</v>
      </c>
      <c r="Q83" s="36">
        <f t="shared" si="25"/>
        <v>749</v>
      </c>
      <c r="R83" s="36">
        <f t="shared" si="26"/>
        <v>839.32758620689674</v>
      </c>
      <c r="S83" s="37">
        <f t="shared" si="27"/>
        <v>1588.3275862068967</v>
      </c>
      <c r="T83">
        <f t="shared" si="28"/>
        <v>1617.655172413793</v>
      </c>
      <c r="U83">
        <f t="shared" si="29"/>
        <v>1588.3275862068967</v>
      </c>
      <c r="V83">
        <f>IF(AND(settings!$D$4=0,settings!$D$7=0),'Small Dist Weight'!P83,IF(AND(settings!$D$4=0,settings!$D$7=1),T83,IF(AND(settings!$D$4=1,settings!$D$7=0),S83,U83)))</f>
        <v>1588.3275862068967</v>
      </c>
    </row>
    <row r="84" spans="1:22">
      <c r="A84" t="str">
        <f>'Student Enrollment Data'!A86</f>
        <v>331</v>
      </c>
      <c r="B84">
        <f>'Student Enrollment Data'!B86</f>
        <v>331</v>
      </c>
      <c r="C84" t="str">
        <f>'Student Enrollment Data'!C86</f>
        <v>Minidoka County Joint School District # 331</v>
      </c>
      <c r="D84">
        <v>0</v>
      </c>
      <c r="E84" s="34">
        <f>IF(settings!$G$4=0,'Student Enrollment Data'!BA86,'Student Enrollment Data'!CN86)</f>
        <v>2226.7279411764707</v>
      </c>
      <c r="F84" s="34">
        <f>IF(settings!$G$4=0,'Student Enrollment Data'!BB86,'Student Enrollment Data'!CO86)</f>
        <v>1841.6599547511312</v>
      </c>
      <c r="G84" s="34">
        <f t="shared" si="15"/>
        <v>0</v>
      </c>
      <c r="H84" s="34">
        <f t="shared" si="16"/>
        <v>0</v>
      </c>
      <c r="I84" s="34">
        <f t="shared" si="17"/>
        <v>0</v>
      </c>
      <c r="J84" s="36" t="str">
        <f t="shared" si="18"/>
        <v/>
      </c>
      <c r="K84" s="36" t="str">
        <f t="shared" si="19"/>
        <v/>
      </c>
      <c r="L84" s="36">
        <f t="shared" si="20"/>
        <v>0</v>
      </c>
      <c r="M84" s="36">
        <f t="shared" si="21"/>
        <v>0</v>
      </c>
      <c r="N84" s="36">
        <f t="shared" si="22"/>
        <v>2226.7279411764707</v>
      </c>
      <c r="O84" s="36">
        <f t="shared" si="23"/>
        <v>1841.6599547511312</v>
      </c>
      <c r="P84" s="36">
        <f t="shared" si="24"/>
        <v>4068.3878959276017</v>
      </c>
      <c r="Q84" s="36">
        <f t="shared" si="25"/>
        <v>2226.7279411764707</v>
      </c>
      <c r="R84" s="36">
        <f t="shared" si="26"/>
        <v>1841.6599547511312</v>
      </c>
      <c r="S84" s="37">
        <f t="shared" si="27"/>
        <v>4068.3878959276017</v>
      </c>
      <c r="T84">
        <f t="shared" si="28"/>
        <v>4068.3878959276017</v>
      </c>
      <c r="U84">
        <f t="shared" si="29"/>
        <v>4068.3878959276017</v>
      </c>
      <c r="V84">
        <f>IF(AND(settings!$D$4=0,settings!$D$7=0),'Small Dist Weight'!P84,IF(AND(settings!$D$4=0,settings!$D$7=1),T84,IF(AND(settings!$D$4=1,settings!$D$7=0),S84,U84)))</f>
        <v>4068.3878959276017</v>
      </c>
    </row>
    <row r="85" spans="1:22">
      <c r="A85" t="str">
        <f>'Student Enrollment Data'!A87</f>
        <v>340</v>
      </c>
      <c r="B85">
        <f>'Student Enrollment Data'!B87</f>
        <v>340</v>
      </c>
      <c r="C85" t="str">
        <f>'Student Enrollment Data'!C87</f>
        <v>Lewiston Independent School District # 340</v>
      </c>
      <c r="D85">
        <v>0</v>
      </c>
      <c r="E85" s="34">
        <f>IF(settings!$G$4=0,'Student Enrollment Data'!BA87,'Student Enrollment Data'!CN87)</f>
        <v>2279.1642156862745</v>
      </c>
      <c r="F85" s="34">
        <f>IF(settings!$G$4=0,'Student Enrollment Data'!BB87,'Student Enrollment Data'!CO87)</f>
        <v>2257.1784313725489</v>
      </c>
      <c r="G85" s="34">
        <f t="shared" si="15"/>
        <v>0</v>
      </c>
      <c r="H85" s="34">
        <f t="shared" si="16"/>
        <v>0</v>
      </c>
      <c r="I85" s="34">
        <f t="shared" si="17"/>
        <v>0</v>
      </c>
      <c r="J85" s="36" t="str">
        <f t="shared" si="18"/>
        <v/>
      </c>
      <c r="K85" s="36" t="str">
        <f t="shared" si="19"/>
        <v/>
      </c>
      <c r="L85" s="36">
        <f t="shared" si="20"/>
        <v>0</v>
      </c>
      <c r="M85" s="36">
        <f t="shared" si="21"/>
        <v>0</v>
      </c>
      <c r="N85" s="36">
        <f t="shared" si="22"/>
        <v>2279.1642156862745</v>
      </c>
      <c r="O85" s="36">
        <f t="shared" si="23"/>
        <v>2257.1784313725489</v>
      </c>
      <c r="P85" s="36">
        <f t="shared" si="24"/>
        <v>4536.3426470588238</v>
      </c>
      <c r="Q85" s="36">
        <f t="shared" si="25"/>
        <v>2279.1642156862745</v>
      </c>
      <c r="R85" s="36">
        <f t="shared" si="26"/>
        <v>2257.1784313725489</v>
      </c>
      <c r="S85" s="37">
        <f t="shared" si="27"/>
        <v>4536.3426470588238</v>
      </c>
      <c r="T85">
        <f t="shared" si="28"/>
        <v>4536.3426470588238</v>
      </c>
      <c r="U85">
        <f t="shared" si="29"/>
        <v>4536.3426470588238</v>
      </c>
      <c r="V85">
        <f>IF(AND(settings!$D$4=0,settings!$D$7=0),'Small Dist Weight'!P85,IF(AND(settings!$D$4=0,settings!$D$7=1),T85,IF(AND(settings!$D$4=1,settings!$D$7=0),S85,U85)))</f>
        <v>4536.3426470588238</v>
      </c>
    </row>
    <row r="86" spans="1:22">
      <c r="A86" t="str">
        <f>'Student Enrollment Data'!A88</f>
        <v>341</v>
      </c>
      <c r="B86">
        <f>'Student Enrollment Data'!B88</f>
        <v>341</v>
      </c>
      <c r="C86" t="str">
        <f>'Student Enrollment Data'!C88</f>
        <v>Lapwai School District # 341</v>
      </c>
      <c r="D86">
        <v>0</v>
      </c>
      <c r="E86" s="34">
        <f>IF(settings!$G$4=0,'Student Enrollment Data'!BA88,'Student Enrollment Data'!CN88)</f>
        <v>259.5</v>
      </c>
      <c r="F86" s="34">
        <f>IF(settings!$G$4=0,'Student Enrollment Data'!BB88,'Student Enrollment Data'!CO88)</f>
        <v>222</v>
      </c>
      <c r="G86" s="34">
        <f t="shared" si="15"/>
        <v>1</v>
      </c>
      <c r="H86" s="34">
        <f t="shared" si="16"/>
        <v>1</v>
      </c>
      <c r="I86" s="34">
        <f t="shared" si="17"/>
        <v>1</v>
      </c>
      <c r="J86" s="36">
        <f t="shared" si="18"/>
        <v>1.2243181818181819</v>
      </c>
      <c r="K86" s="36">
        <f t="shared" si="19"/>
        <v>1.7820689655172415</v>
      </c>
      <c r="L86" s="36">
        <f t="shared" si="20"/>
        <v>1.112159090909091</v>
      </c>
      <c r="M86" s="36">
        <f t="shared" si="21"/>
        <v>1.6481034482758621</v>
      </c>
      <c r="N86" s="36">
        <f t="shared" si="22"/>
        <v>317.71056818181819</v>
      </c>
      <c r="O86" s="36">
        <f t="shared" si="23"/>
        <v>395.61931034482762</v>
      </c>
      <c r="P86" s="36">
        <f t="shared" si="24"/>
        <v>713.32987852664587</v>
      </c>
      <c r="Q86" s="36">
        <f t="shared" si="25"/>
        <v>288.60528409090915</v>
      </c>
      <c r="R86" s="36">
        <f t="shared" si="26"/>
        <v>365.8789655172414</v>
      </c>
      <c r="S86" s="37">
        <f t="shared" si="27"/>
        <v>654.48424960815055</v>
      </c>
      <c r="T86">
        <f t="shared" si="28"/>
        <v>713.32987852664587</v>
      </c>
      <c r="U86">
        <f t="shared" si="29"/>
        <v>654.48424960815055</v>
      </c>
      <c r="V86">
        <f>IF(AND(settings!$D$4=0,settings!$D$7=0),'Small Dist Weight'!P86,IF(AND(settings!$D$4=0,settings!$D$7=1),T86,IF(AND(settings!$D$4=1,settings!$D$7=0),S86,U86)))</f>
        <v>654.48424960815055</v>
      </c>
    </row>
    <row r="87" spans="1:22">
      <c r="A87" t="str">
        <f>'Student Enrollment Data'!A89</f>
        <v>342</v>
      </c>
      <c r="B87">
        <f>'Student Enrollment Data'!B89</f>
        <v>342</v>
      </c>
      <c r="C87" t="str">
        <f>'Student Enrollment Data'!C89</f>
        <v>Culdesac Joint School District # 342</v>
      </c>
      <c r="D87">
        <v>0</v>
      </c>
      <c r="E87" s="34">
        <f>IF(settings!$G$4=0,'Student Enrollment Data'!BA89,'Student Enrollment Data'!CN89)</f>
        <v>44</v>
      </c>
      <c r="F87" s="34">
        <f>IF(settings!$G$4=0,'Student Enrollment Data'!BB89,'Student Enrollment Data'!CO89)</f>
        <v>100</v>
      </c>
      <c r="G87" s="34">
        <f t="shared" si="15"/>
        <v>1</v>
      </c>
      <c r="H87" s="34">
        <f t="shared" si="16"/>
        <v>1</v>
      </c>
      <c r="I87" s="34">
        <f t="shared" si="17"/>
        <v>1</v>
      </c>
      <c r="J87" s="36">
        <f t="shared" si="18"/>
        <v>1.9100000000000001</v>
      </c>
      <c r="K87" s="36">
        <f t="shared" si="19"/>
        <v>1.9293103448275861</v>
      </c>
      <c r="L87" s="36">
        <f t="shared" si="20"/>
        <v>1.84</v>
      </c>
      <c r="M87" s="36">
        <f t="shared" si="21"/>
        <v>1.8689655172413793</v>
      </c>
      <c r="N87" s="36">
        <f t="shared" si="22"/>
        <v>84.04</v>
      </c>
      <c r="O87" s="36">
        <f t="shared" si="23"/>
        <v>192.93103448275861</v>
      </c>
      <c r="P87" s="36">
        <f t="shared" si="24"/>
        <v>276.97103448275863</v>
      </c>
      <c r="Q87" s="36">
        <f t="shared" si="25"/>
        <v>80.960000000000008</v>
      </c>
      <c r="R87" s="36">
        <f t="shared" si="26"/>
        <v>186.89655172413794</v>
      </c>
      <c r="S87" s="37">
        <f t="shared" si="27"/>
        <v>267.85655172413794</v>
      </c>
      <c r="T87">
        <f t="shared" si="28"/>
        <v>276.97103448275863</v>
      </c>
      <c r="U87">
        <f t="shared" si="29"/>
        <v>267.85655172413794</v>
      </c>
      <c r="V87">
        <f>IF(AND(settings!$D$4=0,settings!$D$7=0),'Small Dist Weight'!P87,IF(AND(settings!$D$4=0,settings!$D$7=1),T87,IF(AND(settings!$D$4=1,settings!$D$7=0),S87,U87)))</f>
        <v>267.85655172413794</v>
      </c>
    </row>
    <row r="88" spans="1:22">
      <c r="A88" t="str">
        <f>'Student Enrollment Data'!A90</f>
        <v>351</v>
      </c>
      <c r="B88">
        <f>'Student Enrollment Data'!B90</f>
        <v>351</v>
      </c>
      <c r="C88" t="str">
        <f>'Student Enrollment Data'!C90</f>
        <v>Oneida County School District # 351</v>
      </c>
      <c r="D88">
        <v>0</v>
      </c>
      <c r="E88" s="34">
        <f>IF(settings!$G$4=0,'Student Enrollment Data'!BA90,'Student Enrollment Data'!CN90)</f>
        <v>1650</v>
      </c>
      <c r="F88" s="34">
        <f>IF(settings!$G$4=0,'Student Enrollment Data'!BB90,'Student Enrollment Data'!CO90)</f>
        <v>623</v>
      </c>
      <c r="G88" s="34">
        <f t="shared" si="15"/>
        <v>0</v>
      </c>
      <c r="H88" s="34">
        <f t="shared" si="16"/>
        <v>1</v>
      </c>
      <c r="I88" s="34">
        <f t="shared" si="17"/>
        <v>0</v>
      </c>
      <c r="J88" s="36" t="str">
        <f t="shared" si="18"/>
        <v/>
      </c>
      <c r="K88" s="36">
        <f t="shared" si="19"/>
        <v>1.298103448275862</v>
      </c>
      <c r="L88" s="36">
        <f t="shared" si="20"/>
        <v>0</v>
      </c>
      <c r="M88" s="36">
        <f t="shared" si="21"/>
        <v>1.1490517241379312</v>
      </c>
      <c r="N88" s="36">
        <f t="shared" si="22"/>
        <v>1650</v>
      </c>
      <c r="O88" s="36">
        <f t="shared" si="23"/>
        <v>808.71844827586199</v>
      </c>
      <c r="P88" s="36">
        <f t="shared" si="24"/>
        <v>2458.7184482758621</v>
      </c>
      <c r="Q88" s="36">
        <f t="shared" si="25"/>
        <v>1650</v>
      </c>
      <c r="R88" s="36">
        <f t="shared" si="26"/>
        <v>715.85922413793116</v>
      </c>
      <c r="S88" s="37">
        <f t="shared" si="27"/>
        <v>2365.8592241379311</v>
      </c>
      <c r="T88">
        <f t="shared" si="28"/>
        <v>2458.7184482758621</v>
      </c>
      <c r="U88">
        <f t="shared" si="29"/>
        <v>2365.8592241379311</v>
      </c>
      <c r="V88">
        <f>IF(AND(settings!$D$4=0,settings!$D$7=0),'Small Dist Weight'!P88,IF(AND(settings!$D$4=0,settings!$D$7=1),T88,IF(AND(settings!$D$4=1,settings!$D$7=0),S88,U88)))</f>
        <v>2365.8592241379311</v>
      </c>
    </row>
    <row r="89" spans="1:22">
      <c r="A89" t="str">
        <f>'Student Enrollment Data'!A91</f>
        <v>363</v>
      </c>
      <c r="B89">
        <f>'Student Enrollment Data'!B91</f>
        <v>363</v>
      </c>
      <c r="C89" t="str">
        <f>'Student Enrollment Data'!C91</f>
        <v>Marsing Joint School District # 363</v>
      </c>
      <c r="D89">
        <v>0</v>
      </c>
      <c r="E89" s="34">
        <f>IF(settings!$G$4=0,'Student Enrollment Data'!BA91,'Student Enrollment Data'!CN91)</f>
        <v>422.5</v>
      </c>
      <c r="F89" s="34">
        <f>IF(settings!$G$4=0,'Student Enrollment Data'!BB91,'Student Enrollment Data'!CO91)</f>
        <v>404</v>
      </c>
      <c r="G89" s="34">
        <f t="shared" si="15"/>
        <v>0</v>
      </c>
      <c r="H89" s="34">
        <f t="shared" si="16"/>
        <v>1</v>
      </c>
      <c r="I89" s="34">
        <f t="shared" si="17"/>
        <v>0</v>
      </c>
      <c r="J89" s="36" t="str">
        <f t="shared" si="18"/>
        <v/>
      </c>
      <c r="K89" s="36">
        <f t="shared" si="19"/>
        <v>1.5624137931034483</v>
      </c>
      <c r="L89" s="36">
        <f t="shared" si="20"/>
        <v>0</v>
      </c>
      <c r="M89" s="36">
        <f t="shared" si="21"/>
        <v>1.3186206896551724</v>
      </c>
      <c r="N89" s="36">
        <f t="shared" si="22"/>
        <v>422.5</v>
      </c>
      <c r="O89" s="36">
        <f t="shared" si="23"/>
        <v>631.21517241379308</v>
      </c>
      <c r="P89" s="36">
        <f t="shared" si="24"/>
        <v>1053.715172413793</v>
      </c>
      <c r="Q89" s="36">
        <f t="shared" si="25"/>
        <v>422.5</v>
      </c>
      <c r="R89" s="36">
        <f t="shared" si="26"/>
        <v>532.72275862068966</v>
      </c>
      <c r="S89" s="37">
        <f t="shared" si="27"/>
        <v>955.22275862068966</v>
      </c>
      <c r="T89">
        <f t="shared" si="28"/>
        <v>1053.715172413793</v>
      </c>
      <c r="U89">
        <f t="shared" si="29"/>
        <v>955.22275862068966</v>
      </c>
      <c r="V89">
        <f>IF(AND(settings!$D$4=0,settings!$D$7=0),'Small Dist Weight'!P89,IF(AND(settings!$D$4=0,settings!$D$7=1),T89,IF(AND(settings!$D$4=1,settings!$D$7=0),S89,U89)))</f>
        <v>955.22275862068966</v>
      </c>
    </row>
    <row r="90" spans="1:22">
      <c r="A90" t="str">
        <f>'Student Enrollment Data'!A92</f>
        <v>364</v>
      </c>
      <c r="B90">
        <f>'Student Enrollment Data'!B92</f>
        <v>364</v>
      </c>
      <c r="C90" t="str">
        <f>'Student Enrollment Data'!C92</f>
        <v>Pleasant Valley Elem. School District # 364</v>
      </c>
      <c r="D90">
        <v>0</v>
      </c>
      <c r="E90" s="34">
        <f>IF(settings!$G$4=0,'Student Enrollment Data'!BA92,'Student Enrollment Data'!CN92)</f>
        <v>6</v>
      </c>
      <c r="F90" s="34">
        <f>IF(settings!$G$4=0,'Student Enrollment Data'!BB92,'Student Enrollment Data'!CO92)</f>
        <v>0</v>
      </c>
      <c r="G90" s="34">
        <f t="shared" si="15"/>
        <v>1</v>
      </c>
      <c r="H90" s="34">
        <f t="shared" si="16"/>
        <v>1</v>
      </c>
      <c r="I90" s="34">
        <f t="shared" si="17"/>
        <v>1</v>
      </c>
      <c r="J90" s="36">
        <f t="shared" si="18"/>
        <v>2.0499999999999998</v>
      </c>
      <c r="K90" s="36">
        <f t="shared" si="19"/>
        <v>2.0499999999999998</v>
      </c>
      <c r="L90" s="36">
        <f t="shared" si="20"/>
        <v>2.0499999999999998</v>
      </c>
      <c r="M90" s="36">
        <f t="shared" si="21"/>
        <v>2.0499999999999998</v>
      </c>
      <c r="N90" s="36">
        <f t="shared" si="22"/>
        <v>12.299999999999999</v>
      </c>
      <c r="O90" s="36">
        <f t="shared" si="23"/>
        <v>0</v>
      </c>
      <c r="P90" s="36">
        <f t="shared" si="24"/>
        <v>12.299999999999999</v>
      </c>
      <c r="Q90" s="36">
        <f t="shared" si="25"/>
        <v>12.299999999999999</v>
      </c>
      <c r="R90" s="36">
        <f t="shared" si="26"/>
        <v>0</v>
      </c>
      <c r="S90" s="37">
        <f t="shared" si="27"/>
        <v>12.299999999999999</v>
      </c>
      <c r="T90">
        <f t="shared" si="28"/>
        <v>12.299999999999999</v>
      </c>
      <c r="U90">
        <f t="shared" si="29"/>
        <v>12.299999999999999</v>
      </c>
      <c r="V90">
        <f>IF(AND(settings!$D$4=0,settings!$D$7=0),'Small Dist Weight'!P90,IF(AND(settings!$D$4=0,settings!$D$7=1),T90,IF(AND(settings!$D$4=1,settings!$D$7=0),S90,U90)))</f>
        <v>12.299999999999999</v>
      </c>
    </row>
    <row r="91" spans="1:22">
      <c r="A91" t="str">
        <f>'Student Enrollment Data'!A93</f>
        <v>365</v>
      </c>
      <c r="B91">
        <f>'Student Enrollment Data'!B93</f>
        <v>365</v>
      </c>
      <c r="C91" t="str">
        <f>'Student Enrollment Data'!C93</f>
        <v>Bruneau-Grand View Jt. School District # 365</v>
      </c>
      <c r="D91">
        <v>0</v>
      </c>
      <c r="E91" s="34">
        <f>IF(settings!$G$4=0,'Student Enrollment Data'!BA93,'Student Enrollment Data'!CN93)</f>
        <v>143.5</v>
      </c>
      <c r="F91" s="34">
        <f>IF(settings!$G$4=0,'Student Enrollment Data'!BB93,'Student Enrollment Data'!CO93)</f>
        <v>147</v>
      </c>
      <c r="G91" s="34">
        <f t="shared" si="15"/>
        <v>1</v>
      </c>
      <c r="H91" s="34">
        <f t="shared" si="16"/>
        <v>1</v>
      </c>
      <c r="I91" s="34">
        <f t="shared" si="17"/>
        <v>1</v>
      </c>
      <c r="J91" s="36">
        <f t="shared" si="18"/>
        <v>1.593409090909091</v>
      </c>
      <c r="K91" s="36">
        <f t="shared" si="19"/>
        <v>1.8725862068965518</v>
      </c>
      <c r="L91" s="36">
        <f t="shared" si="20"/>
        <v>1.3651136363636365</v>
      </c>
      <c r="M91" s="36">
        <f t="shared" si="21"/>
        <v>1.7838793103448276</v>
      </c>
      <c r="N91" s="36">
        <f t="shared" si="22"/>
        <v>228.65420454545455</v>
      </c>
      <c r="O91" s="36">
        <f t="shared" si="23"/>
        <v>275.27017241379309</v>
      </c>
      <c r="P91" s="36">
        <f t="shared" si="24"/>
        <v>503.92437695924764</v>
      </c>
      <c r="Q91" s="36">
        <f t="shared" si="25"/>
        <v>195.89380681818184</v>
      </c>
      <c r="R91" s="36">
        <f t="shared" si="26"/>
        <v>262.23025862068965</v>
      </c>
      <c r="S91" s="37">
        <f t="shared" si="27"/>
        <v>458.12406543887153</v>
      </c>
      <c r="T91">
        <f t="shared" si="28"/>
        <v>503.92437695924764</v>
      </c>
      <c r="U91">
        <f t="shared" si="29"/>
        <v>458.12406543887153</v>
      </c>
      <c r="V91">
        <f>IF(AND(settings!$D$4=0,settings!$D$7=0),'Small Dist Weight'!P91,IF(AND(settings!$D$4=0,settings!$D$7=1),T91,IF(AND(settings!$D$4=1,settings!$D$7=0),S91,U91)))</f>
        <v>458.12406543887153</v>
      </c>
    </row>
    <row r="92" spans="1:22">
      <c r="A92" t="str">
        <f>'Student Enrollment Data'!A94</f>
        <v>370</v>
      </c>
      <c r="B92">
        <f>'Student Enrollment Data'!B94</f>
        <v>370</v>
      </c>
      <c r="C92" t="str">
        <f>'Student Enrollment Data'!C94</f>
        <v>Homedale Joint School District # 370</v>
      </c>
      <c r="D92">
        <v>0</v>
      </c>
      <c r="E92" s="34">
        <f>IF(settings!$G$4=0,'Student Enrollment Data'!BA94,'Student Enrollment Data'!CN94)</f>
        <v>610</v>
      </c>
      <c r="F92" s="34">
        <f>IF(settings!$G$4=0,'Student Enrollment Data'!BB94,'Student Enrollment Data'!CO94)</f>
        <v>558</v>
      </c>
      <c r="G92" s="34">
        <f t="shared" si="15"/>
        <v>0</v>
      </c>
      <c r="H92" s="34">
        <f t="shared" si="16"/>
        <v>1</v>
      </c>
      <c r="I92" s="34">
        <f t="shared" si="17"/>
        <v>0</v>
      </c>
      <c r="J92" s="36" t="str">
        <f t="shared" si="18"/>
        <v/>
      </c>
      <c r="K92" s="36">
        <f t="shared" si="19"/>
        <v>1.376551724137931</v>
      </c>
      <c r="L92" s="36">
        <f t="shared" si="20"/>
        <v>0</v>
      </c>
      <c r="M92" s="36">
        <f t="shared" si="21"/>
        <v>1.1882758620689655</v>
      </c>
      <c r="N92" s="36">
        <f t="shared" si="22"/>
        <v>610</v>
      </c>
      <c r="O92" s="36">
        <f t="shared" si="23"/>
        <v>768.1158620689655</v>
      </c>
      <c r="P92" s="36">
        <f t="shared" si="24"/>
        <v>1378.1158620689655</v>
      </c>
      <c r="Q92" s="36">
        <f t="shared" si="25"/>
        <v>610</v>
      </c>
      <c r="R92" s="36">
        <f t="shared" si="26"/>
        <v>663.05793103448275</v>
      </c>
      <c r="S92" s="37">
        <f t="shared" si="27"/>
        <v>1273.0579310344829</v>
      </c>
      <c r="T92">
        <f t="shared" si="28"/>
        <v>1378.1158620689655</v>
      </c>
      <c r="U92">
        <f t="shared" si="29"/>
        <v>1273.0579310344829</v>
      </c>
      <c r="V92">
        <f>IF(AND(settings!$D$4=0,settings!$D$7=0),'Small Dist Weight'!P92,IF(AND(settings!$D$4=0,settings!$D$7=1),T92,IF(AND(settings!$D$4=1,settings!$D$7=0),S92,U92)))</f>
        <v>1273.0579310344829</v>
      </c>
    </row>
    <row r="93" spans="1:22">
      <c r="A93" t="str">
        <f>'Student Enrollment Data'!A95</f>
        <v>371</v>
      </c>
      <c r="B93">
        <f>'Student Enrollment Data'!B95</f>
        <v>371</v>
      </c>
      <c r="C93" t="str">
        <f>'Student Enrollment Data'!C95</f>
        <v>Payette Joint School District # 371</v>
      </c>
      <c r="D93">
        <v>0</v>
      </c>
      <c r="E93" s="34">
        <f>IF(settings!$G$4=0,'Student Enrollment Data'!BA95,'Student Enrollment Data'!CN95)</f>
        <v>794</v>
      </c>
      <c r="F93" s="34">
        <f>IF(settings!$G$4=0,'Student Enrollment Data'!BB95,'Student Enrollment Data'!CO95)</f>
        <v>697.91921568627447</v>
      </c>
      <c r="G93" s="34">
        <f t="shared" si="15"/>
        <v>0</v>
      </c>
      <c r="H93" s="34">
        <f t="shared" si="16"/>
        <v>1</v>
      </c>
      <c r="I93" s="34">
        <f t="shared" si="17"/>
        <v>0</v>
      </c>
      <c r="J93" s="36" t="str">
        <f t="shared" si="18"/>
        <v/>
      </c>
      <c r="K93" s="36">
        <f t="shared" si="19"/>
        <v>1.2076837052062204</v>
      </c>
      <c r="L93" s="36">
        <f t="shared" si="20"/>
        <v>0</v>
      </c>
      <c r="M93" s="36">
        <f t="shared" si="21"/>
        <v>1.1038418526031104</v>
      </c>
      <c r="N93" s="36">
        <f t="shared" si="22"/>
        <v>794</v>
      </c>
      <c r="O93" s="36">
        <f t="shared" si="23"/>
        <v>842.86566433461928</v>
      </c>
      <c r="P93" s="36">
        <f t="shared" si="24"/>
        <v>1636.8656643346194</v>
      </c>
      <c r="Q93" s="36">
        <f t="shared" si="25"/>
        <v>794</v>
      </c>
      <c r="R93" s="36">
        <f t="shared" si="26"/>
        <v>770.39244001044699</v>
      </c>
      <c r="S93" s="37">
        <f t="shared" si="27"/>
        <v>1564.392440010447</v>
      </c>
      <c r="T93">
        <f t="shared" si="28"/>
        <v>1636.8656643346194</v>
      </c>
      <c r="U93">
        <f t="shared" si="29"/>
        <v>1564.392440010447</v>
      </c>
      <c r="V93">
        <f>IF(AND(settings!$D$4=0,settings!$D$7=0),'Small Dist Weight'!P93,IF(AND(settings!$D$4=0,settings!$D$7=1),T93,IF(AND(settings!$D$4=1,settings!$D$7=0),S93,U93)))</f>
        <v>1564.392440010447</v>
      </c>
    </row>
    <row r="94" spans="1:22">
      <c r="A94" t="str">
        <f>'Student Enrollment Data'!A96</f>
        <v>372</v>
      </c>
      <c r="B94">
        <f>'Student Enrollment Data'!B96</f>
        <v>372</v>
      </c>
      <c r="C94" t="str">
        <f>'Student Enrollment Data'!C96</f>
        <v>New Plymouth School District # 372</v>
      </c>
      <c r="D94">
        <v>0</v>
      </c>
      <c r="E94" s="34">
        <f>IF(settings!$G$4=0,'Student Enrollment Data'!BA96,'Student Enrollment Data'!CN96)</f>
        <v>471.84901960784316</v>
      </c>
      <c r="F94" s="34">
        <f>IF(settings!$G$4=0,'Student Enrollment Data'!BB96,'Student Enrollment Data'!CO96)</f>
        <v>483</v>
      </c>
      <c r="G94" s="34">
        <f t="shared" si="15"/>
        <v>0</v>
      </c>
      <c r="H94" s="34">
        <f t="shared" si="16"/>
        <v>1</v>
      </c>
      <c r="I94" s="34">
        <f t="shared" si="17"/>
        <v>0</v>
      </c>
      <c r="J94" s="36" t="str">
        <f t="shared" si="18"/>
        <v/>
      </c>
      <c r="K94" s="36">
        <f t="shared" si="19"/>
        <v>1.4670689655172415</v>
      </c>
      <c r="L94" s="36">
        <f t="shared" si="20"/>
        <v>0</v>
      </c>
      <c r="M94" s="36">
        <f t="shared" si="21"/>
        <v>1.2335344827586208</v>
      </c>
      <c r="N94" s="36">
        <f t="shared" si="22"/>
        <v>471.84901960784316</v>
      </c>
      <c r="O94" s="36">
        <f t="shared" si="23"/>
        <v>708.5943103448277</v>
      </c>
      <c r="P94" s="36">
        <f t="shared" si="24"/>
        <v>1180.4433299526709</v>
      </c>
      <c r="Q94" s="36">
        <f t="shared" si="25"/>
        <v>471.84901960784316</v>
      </c>
      <c r="R94" s="36">
        <f t="shared" si="26"/>
        <v>595.7971551724138</v>
      </c>
      <c r="S94" s="37">
        <f t="shared" si="27"/>
        <v>1067.6461747802568</v>
      </c>
      <c r="T94">
        <f t="shared" si="28"/>
        <v>1180.4433299526709</v>
      </c>
      <c r="U94">
        <f t="shared" si="29"/>
        <v>1067.6461747802568</v>
      </c>
      <c r="V94">
        <f>IF(AND(settings!$D$4=0,settings!$D$7=0),'Small Dist Weight'!P94,IF(AND(settings!$D$4=0,settings!$D$7=1),T94,IF(AND(settings!$D$4=1,settings!$D$7=0),S94,U94)))</f>
        <v>1067.6461747802568</v>
      </c>
    </row>
    <row r="95" spans="1:22">
      <c r="A95" t="str">
        <f>'Student Enrollment Data'!A97</f>
        <v>373</v>
      </c>
      <c r="B95">
        <f>'Student Enrollment Data'!B97</f>
        <v>373</v>
      </c>
      <c r="C95" t="str">
        <f>'Student Enrollment Data'!C97</f>
        <v>Fruitland School District # 373</v>
      </c>
      <c r="D95">
        <v>0</v>
      </c>
      <c r="E95" s="34">
        <f>IF(settings!$G$4=0,'Student Enrollment Data'!BA97,'Student Enrollment Data'!CN97)</f>
        <v>869.5</v>
      </c>
      <c r="F95" s="34">
        <f>IF(settings!$G$4=0,'Student Enrollment Data'!BB97,'Student Enrollment Data'!CO97)</f>
        <v>827.36274509803923</v>
      </c>
      <c r="G95" s="34">
        <f t="shared" si="15"/>
        <v>0</v>
      </c>
      <c r="H95" s="34">
        <f t="shared" si="16"/>
        <v>1</v>
      </c>
      <c r="I95" s="34">
        <f t="shared" si="17"/>
        <v>0</v>
      </c>
      <c r="J95" s="36" t="str">
        <f t="shared" si="18"/>
        <v/>
      </c>
      <c r="K95" s="36">
        <f t="shared" si="19"/>
        <v>1.0514587559161597</v>
      </c>
      <c r="L95" s="36">
        <f t="shared" si="20"/>
        <v>0</v>
      </c>
      <c r="M95" s="36">
        <f t="shared" si="21"/>
        <v>1.0257293779580798</v>
      </c>
      <c r="N95" s="36">
        <f t="shared" si="22"/>
        <v>869.5</v>
      </c>
      <c r="O95" s="36">
        <f t="shared" si="23"/>
        <v>869.9378026521631</v>
      </c>
      <c r="P95" s="36">
        <f t="shared" si="24"/>
        <v>1739.4378026521631</v>
      </c>
      <c r="Q95" s="36">
        <f t="shared" si="25"/>
        <v>869.5</v>
      </c>
      <c r="R95" s="36">
        <f t="shared" si="26"/>
        <v>848.65027387510111</v>
      </c>
      <c r="S95" s="37">
        <f t="shared" si="27"/>
        <v>1718.150273875101</v>
      </c>
      <c r="T95">
        <f t="shared" si="28"/>
        <v>1739.4378026521631</v>
      </c>
      <c r="U95">
        <f t="shared" si="29"/>
        <v>1718.150273875101</v>
      </c>
      <c r="V95">
        <f>IF(AND(settings!$D$4=0,settings!$D$7=0),'Small Dist Weight'!P95,IF(AND(settings!$D$4=0,settings!$D$7=1),T95,IF(AND(settings!$D$4=1,settings!$D$7=0),S95,U95)))</f>
        <v>1718.150273875101</v>
      </c>
    </row>
    <row r="96" spans="1:22">
      <c r="A96" t="str">
        <f>'Student Enrollment Data'!A98</f>
        <v>381</v>
      </c>
      <c r="B96">
        <f>'Student Enrollment Data'!B98</f>
        <v>381</v>
      </c>
      <c r="C96" t="str">
        <f>'Student Enrollment Data'!C98</f>
        <v>American Falls Joint School District # 381</v>
      </c>
      <c r="D96">
        <v>0</v>
      </c>
      <c r="E96" s="34">
        <f>IF(settings!$G$4=0,'Student Enrollment Data'!BA98,'Student Enrollment Data'!CN98)</f>
        <v>731</v>
      </c>
      <c r="F96" s="34">
        <f>IF(settings!$G$4=0,'Student Enrollment Data'!BB98,'Student Enrollment Data'!CO98)</f>
        <v>676.11568627450981</v>
      </c>
      <c r="G96" s="34">
        <f t="shared" si="15"/>
        <v>0</v>
      </c>
      <c r="H96" s="34">
        <f t="shared" si="16"/>
        <v>1</v>
      </c>
      <c r="I96" s="34">
        <f t="shared" si="17"/>
        <v>0</v>
      </c>
      <c r="J96" s="36" t="str">
        <f t="shared" si="18"/>
        <v/>
      </c>
      <c r="K96" s="36">
        <f t="shared" si="19"/>
        <v>1.2339983096686951</v>
      </c>
      <c r="L96" s="36">
        <f t="shared" si="20"/>
        <v>0</v>
      </c>
      <c r="M96" s="36">
        <f t="shared" si="21"/>
        <v>1.1169991548343476</v>
      </c>
      <c r="N96" s="36">
        <f t="shared" si="22"/>
        <v>731</v>
      </c>
      <c r="O96" s="36">
        <f t="shared" si="23"/>
        <v>834.32561400323482</v>
      </c>
      <c r="P96" s="36">
        <f t="shared" si="24"/>
        <v>1565.3256140032349</v>
      </c>
      <c r="Q96" s="36">
        <f t="shared" si="25"/>
        <v>731</v>
      </c>
      <c r="R96" s="36">
        <f t="shared" si="26"/>
        <v>755.22065013887243</v>
      </c>
      <c r="S96" s="37">
        <f t="shared" si="27"/>
        <v>1486.2206501388723</v>
      </c>
      <c r="T96">
        <f t="shared" si="28"/>
        <v>1565.3256140032349</v>
      </c>
      <c r="U96">
        <f t="shared" si="29"/>
        <v>1486.2206501388723</v>
      </c>
      <c r="V96">
        <f>IF(AND(settings!$D$4=0,settings!$D$7=0),'Small Dist Weight'!P96,IF(AND(settings!$D$4=0,settings!$D$7=1),T96,IF(AND(settings!$D$4=1,settings!$D$7=0),S96,U96)))</f>
        <v>1486.2206501388723</v>
      </c>
    </row>
    <row r="97" spans="1:22">
      <c r="A97" t="str">
        <f>'Student Enrollment Data'!A99</f>
        <v>382</v>
      </c>
      <c r="B97">
        <f>'Student Enrollment Data'!B99</f>
        <v>382</v>
      </c>
      <c r="C97" t="str">
        <f>'Student Enrollment Data'!C99</f>
        <v>Rockland School District # 382</v>
      </c>
      <c r="D97">
        <v>0</v>
      </c>
      <c r="E97" s="34">
        <f>IF(settings!$G$4=0,'Student Enrollment Data'!BA99,'Student Enrollment Data'!CN99)</f>
        <v>80</v>
      </c>
      <c r="F97" s="34">
        <f>IF(settings!$G$4=0,'Student Enrollment Data'!BB99,'Student Enrollment Data'!CO99)</f>
        <v>100</v>
      </c>
      <c r="G97" s="34">
        <f t="shared" si="15"/>
        <v>1</v>
      </c>
      <c r="H97" s="34">
        <f t="shared" si="16"/>
        <v>1</v>
      </c>
      <c r="I97" s="34">
        <f t="shared" si="17"/>
        <v>1</v>
      </c>
      <c r="J97" s="36">
        <f t="shared" si="18"/>
        <v>1.7954545454545454</v>
      </c>
      <c r="K97" s="36">
        <f t="shared" si="19"/>
        <v>1.9293103448275861</v>
      </c>
      <c r="L97" s="36">
        <f t="shared" si="20"/>
        <v>1.6681818181818182</v>
      </c>
      <c r="M97" s="36">
        <f t="shared" si="21"/>
        <v>1.8689655172413793</v>
      </c>
      <c r="N97" s="36">
        <f t="shared" si="22"/>
        <v>143.63636363636363</v>
      </c>
      <c r="O97" s="36">
        <f t="shared" si="23"/>
        <v>192.93103448275861</v>
      </c>
      <c r="P97" s="36">
        <f t="shared" si="24"/>
        <v>336.56739811912223</v>
      </c>
      <c r="Q97" s="36">
        <f t="shared" si="25"/>
        <v>133.45454545454547</v>
      </c>
      <c r="R97" s="36">
        <f t="shared" si="26"/>
        <v>186.89655172413794</v>
      </c>
      <c r="S97" s="37">
        <f t="shared" si="27"/>
        <v>320.3510971786834</v>
      </c>
      <c r="T97">
        <f t="shared" si="28"/>
        <v>336.56739811912223</v>
      </c>
      <c r="U97">
        <f t="shared" si="29"/>
        <v>320.3510971786834</v>
      </c>
      <c r="V97">
        <f>IF(AND(settings!$D$4=0,settings!$D$7=0),'Small Dist Weight'!P97,IF(AND(settings!$D$4=0,settings!$D$7=1),T97,IF(AND(settings!$D$4=1,settings!$D$7=0),S97,U97)))</f>
        <v>320.3510971786834</v>
      </c>
    </row>
    <row r="98" spans="1:22">
      <c r="A98" t="str">
        <f>'Student Enrollment Data'!A100</f>
        <v>383</v>
      </c>
      <c r="B98">
        <f>'Student Enrollment Data'!B100</f>
        <v>383</v>
      </c>
      <c r="C98" t="str">
        <f>'Student Enrollment Data'!C100</f>
        <v>Arbon Elementary School District # 383</v>
      </c>
      <c r="D98">
        <v>0</v>
      </c>
      <c r="E98" s="34">
        <f>IF(settings!$G$4=0,'Student Enrollment Data'!BA100,'Student Enrollment Data'!CN100)</f>
        <v>15.5</v>
      </c>
      <c r="F98" s="34">
        <f>IF(settings!$G$4=0,'Student Enrollment Data'!BB100,'Student Enrollment Data'!CO100)</f>
        <v>0</v>
      </c>
      <c r="G98" s="34">
        <f t="shared" si="15"/>
        <v>1</v>
      </c>
      <c r="H98" s="34">
        <f t="shared" si="16"/>
        <v>1</v>
      </c>
      <c r="I98" s="34">
        <f t="shared" si="17"/>
        <v>1</v>
      </c>
      <c r="J98" s="36">
        <f t="shared" si="18"/>
        <v>2.0499999999999998</v>
      </c>
      <c r="K98" s="36">
        <f t="shared" si="19"/>
        <v>2.0499999999999998</v>
      </c>
      <c r="L98" s="36">
        <f t="shared" si="20"/>
        <v>2.0499999999999998</v>
      </c>
      <c r="M98" s="36">
        <f t="shared" si="21"/>
        <v>2.0499999999999998</v>
      </c>
      <c r="N98" s="36">
        <f t="shared" si="22"/>
        <v>31.774999999999999</v>
      </c>
      <c r="O98" s="36">
        <f t="shared" si="23"/>
        <v>0</v>
      </c>
      <c r="P98" s="36">
        <f t="shared" si="24"/>
        <v>31.774999999999999</v>
      </c>
      <c r="Q98" s="36">
        <f t="shared" si="25"/>
        <v>31.774999999999999</v>
      </c>
      <c r="R98" s="36">
        <f t="shared" si="26"/>
        <v>0</v>
      </c>
      <c r="S98" s="37">
        <f t="shared" si="27"/>
        <v>31.774999999999999</v>
      </c>
      <c r="T98">
        <f t="shared" si="28"/>
        <v>31.774999999999999</v>
      </c>
      <c r="U98">
        <f t="shared" si="29"/>
        <v>31.774999999999999</v>
      </c>
      <c r="V98">
        <f>IF(AND(settings!$D$4=0,settings!$D$7=0),'Small Dist Weight'!P98,IF(AND(settings!$D$4=0,settings!$D$7=1),T98,IF(AND(settings!$D$4=1,settings!$D$7=0),S98,U98)))</f>
        <v>31.774999999999999</v>
      </c>
    </row>
    <row r="99" spans="1:22">
      <c r="A99" t="str">
        <f>'Student Enrollment Data'!A101</f>
        <v>391</v>
      </c>
      <c r="B99">
        <f>'Student Enrollment Data'!B101</f>
        <v>391</v>
      </c>
      <c r="C99" t="str">
        <f>'Student Enrollment Data'!C101</f>
        <v>Kellogg Joint School District # 391</v>
      </c>
      <c r="D99">
        <v>0</v>
      </c>
      <c r="E99" s="34">
        <f>IF(settings!$G$4=0,'Student Enrollment Data'!BA101,'Student Enrollment Data'!CN101)</f>
        <v>558</v>
      </c>
      <c r="F99" s="34">
        <f>IF(settings!$G$4=0,'Student Enrollment Data'!BB101,'Student Enrollment Data'!CO101)</f>
        <v>491.23137254901962</v>
      </c>
      <c r="G99" s="34">
        <f t="shared" si="15"/>
        <v>0</v>
      </c>
      <c r="H99" s="34">
        <f t="shared" si="16"/>
        <v>1</v>
      </c>
      <c r="I99" s="34">
        <f t="shared" si="17"/>
        <v>0</v>
      </c>
      <c r="J99" s="36" t="str">
        <f t="shared" si="18"/>
        <v/>
      </c>
      <c r="K99" s="36">
        <f t="shared" si="19"/>
        <v>1.4571345503718729</v>
      </c>
      <c r="L99" s="36">
        <f t="shared" si="20"/>
        <v>0</v>
      </c>
      <c r="M99" s="36">
        <f t="shared" si="21"/>
        <v>1.2285672751859367</v>
      </c>
      <c r="N99" s="36">
        <f t="shared" si="22"/>
        <v>558</v>
      </c>
      <c r="O99" s="36">
        <f t="shared" si="23"/>
        <v>715.79020516777371</v>
      </c>
      <c r="P99" s="36">
        <f t="shared" si="24"/>
        <v>1273.7902051677738</v>
      </c>
      <c r="Q99" s="36">
        <f t="shared" si="25"/>
        <v>558</v>
      </c>
      <c r="R99" s="36">
        <f t="shared" si="26"/>
        <v>603.51078885839672</v>
      </c>
      <c r="S99" s="37">
        <f t="shared" si="27"/>
        <v>1161.5107888583966</v>
      </c>
      <c r="T99">
        <f t="shared" si="28"/>
        <v>1273.7902051677738</v>
      </c>
      <c r="U99">
        <f t="shared" si="29"/>
        <v>1161.5107888583966</v>
      </c>
      <c r="V99">
        <f>IF(AND(settings!$D$4=0,settings!$D$7=0),'Small Dist Weight'!P99,IF(AND(settings!$D$4=0,settings!$D$7=1),T99,IF(AND(settings!$D$4=1,settings!$D$7=0),S99,U99)))</f>
        <v>1161.5107888583966</v>
      </c>
    </row>
    <row r="100" spans="1:22">
      <c r="A100" t="str">
        <f>'Student Enrollment Data'!A102</f>
        <v>392</v>
      </c>
      <c r="B100">
        <f>'Student Enrollment Data'!B102</f>
        <v>392</v>
      </c>
      <c r="C100" t="str">
        <f>'Student Enrollment Data'!C102</f>
        <v>Mullan School District # 392</v>
      </c>
      <c r="D100">
        <v>0</v>
      </c>
      <c r="E100" s="34">
        <f>IF(settings!$G$4=0,'Student Enrollment Data'!BA102,'Student Enrollment Data'!CN102)</f>
        <v>46</v>
      </c>
      <c r="F100" s="34">
        <f>IF(settings!$G$4=0,'Student Enrollment Data'!BB102,'Student Enrollment Data'!CO102)</f>
        <v>100</v>
      </c>
      <c r="G100" s="34">
        <f t="shared" si="15"/>
        <v>1</v>
      </c>
      <c r="H100" s="34">
        <f t="shared" si="16"/>
        <v>1</v>
      </c>
      <c r="I100" s="34">
        <f t="shared" si="17"/>
        <v>1</v>
      </c>
      <c r="J100" s="36">
        <f t="shared" si="18"/>
        <v>1.9036363636363638</v>
      </c>
      <c r="K100" s="36">
        <f t="shared" si="19"/>
        <v>1.9293103448275861</v>
      </c>
      <c r="L100" s="36">
        <f t="shared" si="20"/>
        <v>1.8304545454545456</v>
      </c>
      <c r="M100" s="36">
        <f t="shared" si="21"/>
        <v>1.8689655172413793</v>
      </c>
      <c r="N100" s="36">
        <f t="shared" si="22"/>
        <v>87.567272727272737</v>
      </c>
      <c r="O100" s="36">
        <f t="shared" si="23"/>
        <v>192.93103448275861</v>
      </c>
      <c r="P100" s="36">
        <f t="shared" si="24"/>
        <v>280.49830721003133</v>
      </c>
      <c r="Q100" s="36">
        <f t="shared" si="25"/>
        <v>84.200909090909093</v>
      </c>
      <c r="R100" s="36">
        <f t="shared" si="26"/>
        <v>186.89655172413794</v>
      </c>
      <c r="S100" s="37">
        <f t="shared" si="27"/>
        <v>271.09746081504704</v>
      </c>
      <c r="T100">
        <f t="shared" si="28"/>
        <v>280.49830721003133</v>
      </c>
      <c r="U100">
        <f t="shared" si="29"/>
        <v>271.09746081504704</v>
      </c>
      <c r="V100">
        <f>IF(AND(settings!$D$4=0,settings!$D$7=0),'Small Dist Weight'!P100,IF(AND(settings!$D$4=0,settings!$D$7=1),T100,IF(AND(settings!$D$4=1,settings!$D$7=0),S100,U100)))</f>
        <v>271.09746081504704</v>
      </c>
    </row>
    <row r="101" spans="1:22">
      <c r="A101" t="str">
        <f>'Student Enrollment Data'!A103</f>
        <v>393</v>
      </c>
      <c r="B101">
        <f>'Student Enrollment Data'!B103</f>
        <v>393</v>
      </c>
      <c r="C101" t="str">
        <f>'Student Enrollment Data'!C103</f>
        <v>Wallace School District # 393</v>
      </c>
      <c r="D101">
        <v>0</v>
      </c>
      <c r="E101" s="34">
        <f>IF(settings!$G$4=0,'Student Enrollment Data'!BA103,'Student Enrollment Data'!CN103)</f>
        <v>239.5</v>
      </c>
      <c r="F101" s="34">
        <f>IF(settings!$G$4=0,'Student Enrollment Data'!BB103,'Student Enrollment Data'!CO103)</f>
        <v>220</v>
      </c>
      <c r="G101" s="34">
        <f t="shared" si="15"/>
        <v>1</v>
      </c>
      <c r="H101" s="34">
        <f t="shared" si="16"/>
        <v>1</v>
      </c>
      <c r="I101" s="34">
        <f t="shared" si="17"/>
        <v>1</v>
      </c>
      <c r="J101" s="36">
        <f t="shared" si="18"/>
        <v>1.2879545454545456</v>
      </c>
      <c r="K101" s="36">
        <f t="shared" si="19"/>
        <v>1.7844827586206897</v>
      </c>
      <c r="L101" s="36">
        <f t="shared" si="20"/>
        <v>1.1439772727272728</v>
      </c>
      <c r="M101" s="36">
        <f t="shared" si="21"/>
        <v>1.6517241379310346</v>
      </c>
      <c r="N101" s="36">
        <f t="shared" si="22"/>
        <v>308.46511363636364</v>
      </c>
      <c r="O101" s="36">
        <f t="shared" si="23"/>
        <v>392.58620689655174</v>
      </c>
      <c r="P101" s="36">
        <f t="shared" si="24"/>
        <v>701.05132053291538</v>
      </c>
      <c r="Q101" s="36">
        <f t="shared" si="25"/>
        <v>273.98255681818182</v>
      </c>
      <c r="R101" s="36">
        <f t="shared" si="26"/>
        <v>363.37931034482762</v>
      </c>
      <c r="S101" s="37">
        <f t="shared" si="27"/>
        <v>637.36186716300949</v>
      </c>
      <c r="T101">
        <f t="shared" si="28"/>
        <v>701.05132053291538</v>
      </c>
      <c r="U101">
        <f t="shared" si="29"/>
        <v>637.36186716300949</v>
      </c>
      <c r="V101">
        <f>IF(AND(settings!$D$4=0,settings!$D$7=0),'Small Dist Weight'!P101,IF(AND(settings!$D$4=0,settings!$D$7=1),T101,IF(AND(settings!$D$4=1,settings!$D$7=0),S101,U101)))</f>
        <v>637.36186716300949</v>
      </c>
    </row>
    <row r="102" spans="1:22">
      <c r="A102" t="str">
        <f>'Student Enrollment Data'!A104</f>
        <v>394</v>
      </c>
      <c r="B102">
        <f>'Student Enrollment Data'!B104</f>
        <v>394</v>
      </c>
      <c r="C102" t="str">
        <f>'Student Enrollment Data'!C104</f>
        <v>Avery School District # 394</v>
      </c>
      <c r="D102">
        <v>0</v>
      </c>
      <c r="E102" s="34">
        <f>IF(settings!$G$4=0,'Student Enrollment Data'!BA104,'Student Enrollment Data'!CN104)</f>
        <v>15</v>
      </c>
      <c r="F102" s="34">
        <f>IF(settings!$G$4=0,'Student Enrollment Data'!BB104,'Student Enrollment Data'!CO104)</f>
        <v>2</v>
      </c>
      <c r="G102" s="34">
        <f t="shared" si="15"/>
        <v>1</v>
      </c>
      <c r="H102" s="34">
        <f t="shared" si="16"/>
        <v>1</v>
      </c>
      <c r="I102" s="34">
        <f t="shared" si="17"/>
        <v>1</v>
      </c>
      <c r="J102" s="36">
        <f t="shared" si="18"/>
        <v>2.0499999999999998</v>
      </c>
      <c r="K102" s="36">
        <f t="shared" si="19"/>
        <v>2.0499999999999998</v>
      </c>
      <c r="L102" s="36">
        <f t="shared" si="20"/>
        <v>2.0499999999999998</v>
      </c>
      <c r="M102" s="36">
        <f t="shared" si="21"/>
        <v>2.0499999999999998</v>
      </c>
      <c r="N102" s="36">
        <f t="shared" si="22"/>
        <v>30.749999999999996</v>
      </c>
      <c r="O102" s="36">
        <f t="shared" si="23"/>
        <v>4.0999999999999996</v>
      </c>
      <c r="P102" s="36">
        <f t="shared" si="24"/>
        <v>34.849999999999994</v>
      </c>
      <c r="Q102" s="36">
        <f t="shared" si="25"/>
        <v>30.749999999999996</v>
      </c>
      <c r="R102" s="36">
        <f t="shared" si="26"/>
        <v>4.0999999999999996</v>
      </c>
      <c r="S102" s="37">
        <f t="shared" si="27"/>
        <v>34.849999999999994</v>
      </c>
      <c r="T102">
        <f t="shared" si="28"/>
        <v>34.849999999999994</v>
      </c>
      <c r="U102">
        <f t="shared" si="29"/>
        <v>34.849999999999994</v>
      </c>
      <c r="V102">
        <f>IF(AND(settings!$D$4=0,settings!$D$7=0),'Small Dist Weight'!P102,IF(AND(settings!$D$4=0,settings!$D$7=1),T102,IF(AND(settings!$D$4=1,settings!$D$7=0),S102,U102)))</f>
        <v>34.849999999999994</v>
      </c>
    </row>
    <row r="103" spans="1:22">
      <c r="A103" t="str">
        <f>'Student Enrollment Data'!A105</f>
        <v>401</v>
      </c>
      <c r="B103">
        <f>'Student Enrollment Data'!B105</f>
        <v>401</v>
      </c>
      <c r="C103" t="str">
        <f>'Student Enrollment Data'!C105</f>
        <v>Teton County School District # 401</v>
      </c>
      <c r="D103">
        <v>0</v>
      </c>
      <c r="E103" s="34">
        <f>IF(settings!$G$4=0,'Student Enrollment Data'!BA105,'Student Enrollment Data'!CN105)</f>
        <v>939</v>
      </c>
      <c r="F103" s="34">
        <f>IF(settings!$G$4=0,'Student Enrollment Data'!BB105,'Student Enrollment Data'!CO105)</f>
        <v>808</v>
      </c>
      <c r="G103" s="34">
        <f t="shared" si="15"/>
        <v>0</v>
      </c>
      <c r="H103" s="34">
        <f t="shared" si="16"/>
        <v>1</v>
      </c>
      <c r="I103" s="34">
        <f t="shared" si="17"/>
        <v>0</v>
      </c>
      <c r="J103" s="36" t="str">
        <f t="shared" si="18"/>
        <v/>
      </c>
      <c r="K103" s="36">
        <f t="shared" si="19"/>
        <v>1.0748275862068966</v>
      </c>
      <c r="L103" s="36">
        <f t="shared" si="20"/>
        <v>0</v>
      </c>
      <c r="M103" s="36">
        <f t="shared" si="21"/>
        <v>1.0374137931034484</v>
      </c>
      <c r="N103" s="36">
        <f t="shared" si="22"/>
        <v>939</v>
      </c>
      <c r="O103" s="36">
        <f t="shared" si="23"/>
        <v>868.46068965517247</v>
      </c>
      <c r="P103" s="36">
        <f t="shared" si="24"/>
        <v>1807.4606896551725</v>
      </c>
      <c r="Q103" s="36">
        <f t="shared" si="25"/>
        <v>939</v>
      </c>
      <c r="R103" s="36">
        <f t="shared" si="26"/>
        <v>838.23034482758635</v>
      </c>
      <c r="S103" s="37">
        <f t="shared" si="27"/>
        <v>1777.2303448275864</v>
      </c>
      <c r="T103">
        <f t="shared" si="28"/>
        <v>1807.4606896551725</v>
      </c>
      <c r="U103">
        <f t="shared" si="29"/>
        <v>1777.2303448275864</v>
      </c>
      <c r="V103">
        <f>IF(AND(settings!$D$4=0,settings!$D$7=0),'Small Dist Weight'!P103,IF(AND(settings!$D$4=0,settings!$D$7=1),T103,IF(AND(settings!$D$4=1,settings!$D$7=0),S103,U103)))</f>
        <v>1777.2303448275864</v>
      </c>
    </row>
    <row r="104" spans="1:22">
      <c r="A104" t="str">
        <f>'Student Enrollment Data'!A106</f>
        <v>411</v>
      </c>
      <c r="B104">
        <f>'Student Enrollment Data'!B106</f>
        <v>411</v>
      </c>
      <c r="C104" t="str">
        <f>'Student Enrollment Data'!C106</f>
        <v>Twin Falls School District # 411</v>
      </c>
      <c r="D104">
        <v>0</v>
      </c>
      <c r="E104" s="34">
        <f>IF(settings!$G$4=0,'Student Enrollment Data'!BA106,'Student Enrollment Data'!CN106)</f>
        <v>5019.2426645658261</v>
      </c>
      <c r="F104" s="34">
        <f>IF(settings!$G$4=0,'Student Enrollment Data'!BB106,'Student Enrollment Data'!CO106)</f>
        <v>4045.6692311624652</v>
      </c>
      <c r="G104" s="34">
        <f t="shared" si="15"/>
        <v>0</v>
      </c>
      <c r="H104" s="34">
        <f t="shared" si="16"/>
        <v>0</v>
      </c>
      <c r="I104" s="34">
        <f t="shared" si="17"/>
        <v>0</v>
      </c>
      <c r="J104" s="36" t="str">
        <f t="shared" si="18"/>
        <v/>
      </c>
      <c r="K104" s="36" t="str">
        <f t="shared" si="19"/>
        <v/>
      </c>
      <c r="L104" s="36">
        <f t="shared" si="20"/>
        <v>0</v>
      </c>
      <c r="M104" s="36">
        <f t="shared" si="21"/>
        <v>0</v>
      </c>
      <c r="N104" s="36">
        <f t="shared" si="22"/>
        <v>5019.2426645658261</v>
      </c>
      <c r="O104" s="36">
        <f t="shared" si="23"/>
        <v>4045.6692311624652</v>
      </c>
      <c r="P104" s="36">
        <f t="shared" si="24"/>
        <v>9064.9118957282917</v>
      </c>
      <c r="Q104" s="36">
        <f t="shared" si="25"/>
        <v>5019.2426645658261</v>
      </c>
      <c r="R104" s="36">
        <f t="shared" si="26"/>
        <v>4045.6692311624652</v>
      </c>
      <c r="S104" s="37">
        <f t="shared" si="27"/>
        <v>9064.9118957282917</v>
      </c>
      <c r="T104">
        <f t="shared" si="28"/>
        <v>9064.9118957282917</v>
      </c>
      <c r="U104">
        <f t="shared" si="29"/>
        <v>9064.9118957282917</v>
      </c>
      <c r="V104">
        <f>IF(AND(settings!$D$4=0,settings!$D$7=0),'Small Dist Weight'!P104,IF(AND(settings!$D$4=0,settings!$D$7=1),T104,IF(AND(settings!$D$4=1,settings!$D$7=0),S104,U104)))</f>
        <v>9064.9118957282917</v>
      </c>
    </row>
    <row r="105" spans="1:22">
      <c r="A105" t="str">
        <f>'Student Enrollment Data'!A107</f>
        <v>412</v>
      </c>
      <c r="B105">
        <f>'Student Enrollment Data'!B107</f>
        <v>412</v>
      </c>
      <c r="C105" t="str">
        <f>'Student Enrollment Data'!C107</f>
        <v>Buhl Joint School District # 412</v>
      </c>
      <c r="D105">
        <v>0</v>
      </c>
      <c r="E105" s="34">
        <f>IF(settings!$G$4=0,'Student Enrollment Data'!BA107,'Student Enrollment Data'!CN107)</f>
        <v>654.48774509803923</v>
      </c>
      <c r="F105" s="34">
        <f>IF(settings!$G$4=0,'Student Enrollment Data'!BB107,'Student Enrollment Data'!CO107)</f>
        <v>558.45980392156866</v>
      </c>
      <c r="G105" s="34">
        <f t="shared" si="15"/>
        <v>0</v>
      </c>
      <c r="H105" s="34">
        <f t="shared" si="16"/>
        <v>1</v>
      </c>
      <c r="I105" s="34">
        <f t="shared" si="17"/>
        <v>0</v>
      </c>
      <c r="J105" s="36" t="str">
        <f t="shared" si="18"/>
        <v/>
      </c>
      <c r="K105" s="36">
        <f t="shared" si="19"/>
        <v>1.3759967883705206</v>
      </c>
      <c r="L105" s="36">
        <f t="shared" si="20"/>
        <v>0</v>
      </c>
      <c r="M105" s="36">
        <f t="shared" si="21"/>
        <v>1.1879983941852603</v>
      </c>
      <c r="N105" s="36">
        <f t="shared" si="22"/>
        <v>654.48774509803923</v>
      </c>
      <c r="O105" s="36">
        <f t="shared" si="23"/>
        <v>768.43889663010918</v>
      </c>
      <c r="P105" s="36">
        <f t="shared" si="24"/>
        <v>1422.9266417281483</v>
      </c>
      <c r="Q105" s="36">
        <f t="shared" si="25"/>
        <v>654.48774509803923</v>
      </c>
      <c r="R105" s="36">
        <f t="shared" si="26"/>
        <v>663.44935027583892</v>
      </c>
      <c r="S105" s="37">
        <f t="shared" si="27"/>
        <v>1317.937095373878</v>
      </c>
      <c r="T105">
        <f t="shared" si="28"/>
        <v>1422.9266417281483</v>
      </c>
      <c r="U105">
        <f t="shared" si="29"/>
        <v>1317.937095373878</v>
      </c>
      <c r="V105">
        <f>IF(AND(settings!$D$4=0,settings!$D$7=0),'Small Dist Weight'!P105,IF(AND(settings!$D$4=0,settings!$D$7=1),T105,IF(AND(settings!$D$4=1,settings!$D$7=0),S105,U105)))</f>
        <v>1317.937095373878</v>
      </c>
    </row>
    <row r="106" spans="1:22">
      <c r="A106" t="str">
        <f>'Student Enrollment Data'!A108</f>
        <v>413</v>
      </c>
      <c r="B106">
        <f>'Student Enrollment Data'!B108</f>
        <v>413</v>
      </c>
      <c r="C106" t="str">
        <f>'Student Enrollment Data'!C108</f>
        <v>Filer School District # 413</v>
      </c>
      <c r="D106">
        <v>0</v>
      </c>
      <c r="E106" s="34">
        <f>IF(settings!$G$4=0,'Student Enrollment Data'!BA108,'Student Enrollment Data'!CN108)</f>
        <v>806.5</v>
      </c>
      <c r="F106" s="34">
        <f>IF(settings!$G$4=0,'Student Enrollment Data'!BB108,'Student Enrollment Data'!CO108)</f>
        <v>789</v>
      </c>
      <c r="G106" s="34">
        <f t="shared" si="15"/>
        <v>0</v>
      </c>
      <c r="H106" s="34">
        <f t="shared" si="16"/>
        <v>1</v>
      </c>
      <c r="I106" s="34">
        <f t="shared" si="17"/>
        <v>0</v>
      </c>
      <c r="J106" s="36" t="str">
        <f t="shared" si="18"/>
        <v/>
      </c>
      <c r="K106" s="36">
        <f t="shared" si="19"/>
        <v>1.097758620689655</v>
      </c>
      <c r="L106" s="36">
        <f t="shared" si="20"/>
        <v>0</v>
      </c>
      <c r="M106" s="36">
        <f t="shared" si="21"/>
        <v>1.0488793103448277</v>
      </c>
      <c r="N106" s="36">
        <f t="shared" si="22"/>
        <v>806.5</v>
      </c>
      <c r="O106" s="36">
        <f t="shared" si="23"/>
        <v>866.13155172413781</v>
      </c>
      <c r="P106" s="36">
        <f t="shared" si="24"/>
        <v>1672.6315517241378</v>
      </c>
      <c r="Q106" s="36">
        <f t="shared" si="25"/>
        <v>806.5</v>
      </c>
      <c r="R106" s="36">
        <f t="shared" si="26"/>
        <v>827.56577586206913</v>
      </c>
      <c r="S106" s="37">
        <f t="shared" si="27"/>
        <v>1634.0657758620691</v>
      </c>
      <c r="T106">
        <f t="shared" si="28"/>
        <v>1672.6315517241378</v>
      </c>
      <c r="U106">
        <f t="shared" si="29"/>
        <v>1634.0657758620691</v>
      </c>
      <c r="V106">
        <f>IF(AND(settings!$D$4=0,settings!$D$7=0),'Small Dist Weight'!P106,IF(AND(settings!$D$4=0,settings!$D$7=1),T106,IF(AND(settings!$D$4=1,settings!$D$7=0),S106,U106)))</f>
        <v>1634.0657758620691</v>
      </c>
    </row>
    <row r="107" spans="1:22">
      <c r="A107" t="str">
        <f>'Student Enrollment Data'!A109</f>
        <v>414</v>
      </c>
      <c r="B107">
        <f>'Student Enrollment Data'!B109</f>
        <v>414</v>
      </c>
      <c r="C107" t="str">
        <f>'Student Enrollment Data'!C109</f>
        <v>Kimberly School District # 414</v>
      </c>
      <c r="D107">
        <v>0</v>
      </c>
      <c r="E107" s="34">
        <f>IF(settings!$G$4=0,'Student Enrollment Data'!BA109,'Student Enrollment Data'!CN109)</f>
        <v>1048</v>
      </c>
      <c r="F107" s="34">
        <f>IF(settings!$G$4=0,'Student Enrollment Data'!BB109,'Student Enrollment Data'!CO109)</f>
        <v>852.97647058823532</v>
      </c>
      <c r="G107" s="34">
        <f t="shared" si="15"/>
        <v>0</v>
      </c>
      <c r="H107" s="34">
        <f t="shared" si="16"/>
        <v>1</v>
      </c>
      <c r="I107" s="34">
        <f t="shared" si="17"/>
        <v>0</v>
      </c>
      <c r="J107" s="36" t="str">
        <f t="shared" si="18"/>
        <v/>
      </c>
      <c r="K107" s="36">
        <f t="shared" si="19"/>
        <v>1.0205456389452332</v>
      </c>
      <c r="L107" s="36">
        <f t="shared" si="20"/>
        <v>0</v>
      </c>
      <c r="M107" s="36">
        <f t="shared" si="21"/>
        <v>1.0102728194726167</v>
      </c>
      <c r="N107" s="36">
        <f t="shared" si="22"/>
        <v>1048</v>
      </c>
      <c r="O107" s="36">
        <f t="shared" si="23"/>
        <v>870.50141718172051</v>
      </c>
      <c r="P107" s="36">
        <f t="shared" si="24"/>
        <v>1918.5014171817206</v>
      </c>
      <c r="Q107" s="36">
        <f t="shared" si="25"/>
        <v>1048</v>
      </c>
      <c r="R107" s="36">
        <f t="shared" si="26"/>
        <v>861.73894388497797</v>
      </c>
      <c r="S107" s="37">
        <f t="shared" si="27"/>
        <v>1909.738943884978</v>
      </c>
      <c r="T107">
        <f t="shared" si="28"/>
        <v>1918.5014171817206</v>
      </c>
      <c r="U107">
        <f t="shared" si="29"/>
        <v>1909.738943884978</v>
      </c>
      <c r="V107">
        <f>IF(AND(settings!$D$4=0,settings!$D$7=0),'Small Dist Weight'!P107,IF(AND(settings!$D$4=0,settings!$D$7=1),T107,IF(AND(settings!$D$4=1,settings!$D$7=0),S107,U107)))</f>
        <v>1909.738943884978</v>
      </c>
    </row>
    <row r="108" spans="1:22">
      <c r="A108" t="str">
        <f>'Student Enrollment Data'!A110</f>
        <v>415</v>
      </c>
      <c r="B108">
        <f>'Student Enrollment Data'!B110</f>
        <v>415</v>
      </c>
      <c r="C108" t="str">
        <f>'Student Enrollment Data'!C110</f>
        <v>Hansen School District # 415</v>
      </c>
      <c r="D108">
        <v>0</v>
      </c>
      <c r="E108" s="34">
        <f>IF(settings!$G$4=0,'Student Enrollment Data'!BA110,'Student Enrollment Data'!CN110)</f>
        <v>152.5</v>
      </c>
      <c r="F108" s="34">
        <f>IF(settings!$G$4=0,'Student Enrollment Data'!BB110,'Student Enrollment Data'!CO110)</f>
        <v>134</v>
      </c>
      <c r="G108" s="34">
        <f t="shared" si="15"/>
        <v>1</v>
      </c>
      <c r="H108" s="34">
        <f t="shared" si="16"/>
        <v>1</v>
      </c>
      <c r="I108" s="34">
        <f t="shared" si="17"/>
        <v>1</v>
      </c>
      <c r="J108" s="36">
        <f t="shared" si="18"/>
        <v>1.5647727272727274</v>
      </c>
      <c r="K108" s="36">
        <f t="shared" si="19"/>
        <v>1.8882758620689657</v>
      </c>
      <c r="L108" s="36">
        <f t="shared" si="20"/>
        <v>1.322159090909091</v>
      </c>
      <c r="M108" s="36">
        <f t="shared" si="21"/>
        <v>1.8074137931034482</v>
      </c>
      <c r="N108" s="36">
        <f t="shared" si="22"/>
        <v>238.62784090909093</v>
      </c>
      <c r="O108" s="36">
        <f t="shared" si="23"/>
        <v>253.0289655172414</v>
      </c>
      <c r="P108" s="36">
        <f t="shared" si="24"/>
        <v>491.65680642633231</v>
      </c>
      <c r="Q108" s="36">
        <f t="shared" si="25"/>
        <v>201.62926136363637</v>
      </c>
      <c r="R108" s="36">
        <f t="shared" si="26"/>
        <v>242.19344827586207</v>
      </c>
      <c r="S108" s="37">
        <f t="shared" si="27"/>
        <v>443.82270963949844</v>
      </c>
      <c r="T108">
        <f t="shared" si="28"/>
        <v>491.65680642633231</v>
      </c>
      <c r="U108">
        <f t="shared" si="29"/>
        <v>443.82270963949844</v>
      </c>
      <c r="V108">
        <f>IF(AND(settings!$D$4=0,settings!$D$7=0),'Small Dist Weight'!P108,IF(AND(settings!$D$4=0,settings!$D$7=1),T108,IF(AND(settings!$D$4=1,settings!$D$7=0),S108,U108)))</f>
        <v>443.82270963949844</v>
      </c>
    </row>
    <row r="109" spans="1:22">
      <c r="A109" t="str">
        <f>'Student Enrollment Data'!A111</f>
        <v>416</v>
      </c>
      <c r="B109">
        <f>'Student Enrollment Data'!B111</f>
        <v>416</v>
      </c>
      <c r="C109" t="str">
        <f>'Student Enrollment Data'!C111</f>
        <v>Three Creek Joint Elem. School District # 416</v>
      </c>
      <c r="D109">
        <v>0</v>
      </c>
      <c r="E109" s="34">
        <f>IF(settings!$G$4=0,'Student Enrollment Data'!BA111,'Student Enrollment Data'!CN111)</f>
        <v>3.5</v>
      </c>
      <c r="F109" s="34">
        <f>IF(settings!$G$4=0,'Student Enrollment Data'!BB111,'Student Enrollment Data'!CO111)</f>
        <v>2</v>
      </c>
      <c r="G109" s="34">
        <f t="shared" si="15"/>
        <v>1</v>
      </c>
      <c r="H109" s="34">
        <f t="shared" si="16"/>
        <v>1</v>
      </c>
      <c r="I109" s="34">
        <f t="shared" si="17"/>
        <v>1</v>
      </c>
      <c r="J109" s="36">
        <f t="shared" si="18"/>
        <v>2.0499999999999998</v>
      </c>
      <c r="K109" s="36">
        <f t="shared" si="19"/>
        <v>2.0499999999999998</v>
      </c>
      <c r="L109" s="36">
        <f t="shared" si="20"/>
        <v>2.0499999999999998</v>
      </c>
      <c r="M109" s="36">
        <f t="shared" si="21"/>
        <v>2.0499999999999998</v>
      </c>
      <c r="N109" s="36">
        <f t="shared" si="22"/>
        <v>7.1749999999999989</v>
      </c>
      <c r="O109" s="36">
        <f t="shared" si="23"/>
        <v>4.0999999999999996</v>
      </c>
      <c r="P109" s="36">
        <f t="shared" si="24"/>
        <v>11.274999999999999</v>
      </c>
      <c r="Q109" s="36">
        <f t="shared" si="25"/>
        <v>7.1749999999999989</v>
      </c>
      <c r="R109" s="36">
        <f t="shared" si="26"/>
        <v>4.0999999999999996</v>
      </c>
      <c r="S109" s="37">
        <f t="shared" si="27"/>
        <v>11.274999999999999</v>
      </c>
      <c r="T109">
        <f t="shared" si="28"/>
        <v>11.274999999999999</v>
      </c>
      <c r="U109">
        <f t="shared" si="29"/>
        <v>11.274999999999999</v>
      </c>
      <c r="V109">
        <f>IF(AND(settings!$D$4=0,settings!$D$7=0),'Small Dist Weight'!P109,IF(AND(settings!$D$4=0,settings!$D$7=1),T109,IF(AND(settings!$D$4=1,settings!$D$7=0),S109,U109)))</f>
        <v>11.274999999999999</v>
      </c>
    </row>
    <row r="110" spans="1:22">
      <c r="A110" t="str">
        <f>'Student Enrollment Data'!A112</f>
        <v>417</v>
      </c>
      <c r="B110">
        <f>'Student Enrollment Data'!B112</f>
        <v>417</v>
      </c>
      <c r="C110" t="str">
        <f>'Student Enrollment Data'!C112</f>
        <v>Castleford Joint School District # 417</v>
      </c>
      <c r="D110">
        <v>0</v>
      </c>
      <c r="E110" s="34">
        <f>IF(settings!$G$4=0,'Student Enrollment Data'!BA112,'Student Enrollment Data'!CN112)</f>
        <v>176</v>
      </c>
      <c r="F110" s="34">
        <f>IF(settings!$G$4=0,'Student Enrollment Data'!BB112,'Student Enrollment Data'!CO112)</f>
        <v>162</v>
      </c>
      <c r="G110" s="34">
        <f t="shared" si="15"/>
        <v>1</v>
      </c>
      <c r="H110" s="34">
        <f t="shared" si="16"/>
        <v>1</v>
      </c>
      <c r="I110" s="34">
        <f t="shared" si="17"/>
        <v>1</v>
      </c>
      <c r="J110" s="36">
        <f t="shared" si="18"/>
        <v>1.49</v>
      </c>
      <c r="K110" s="36">
        <f t="shared" si="19"/>
        <v>1.8544827586206898</v>
      </c>
      <c r="L110" s="36">
        <f t="shared" si="20"/>
        <v>1.2450000000000001</v>
      </c>
      <c r="M110" s="36">
        <f t="shared" si="21"/>
        <v>1.7567241379310345</v>
      </c>
      <c r="N110" s="36">
        <f t="shared" si="22"/>
        <v>262.24</v>
      </c>
      <c r="O110" s="36">
        <f t="shared" si="23"/>
        <v>300.42620689655172</v>
      </c>
      <c r="P110" s="36">
        <f t="shared" si="24"/>
        <v>562.66620689655178</v>
      </c>
      <c r="Q110" s="36">
        <f t="shared" si="25"/>
        <v>219.12</v>
      </c>
      <c r="R110" s="36">
        <f t="shared" si="26"/>
        <v>284.5893103448276</v>
      </c>
      <c r="S110" s="37">
        <f t="shared" si="27"/>
        <v>503.7093103448276</v>
      </c>
      <c r="T110">
        <f t="shared" si="28"/>
        <v>562.66620689655178</v>
      </c>
      <c r="U110">
        <f t="shared" si="29"/>
        <v>503.7093103448276</v>
      </c>
      <c r="V110">
        <f>IF(AND(settings!$D$4=0,settings!$D$7=0),'Small Dist Weight'!P110,IF(AND(settings!$D$4=0,settings!$D$7=1),T110,IF(AND(settings!$D$4=1,settings!$D$7=0),S110,U110)))</f>
        <v>503.7093103448276</v>
      </c>
    </row>
    <row r="111" spans="1:22">
      <c r="A111" t="str">
        <f>'Student Enrollment Data'!A113</f>
        <v>418</v>
      </c>
      <c r="B111">
        <f>'Student Enrollment Data'!B113</f>
        <v>418</v>
      </c>
      <c r="C111" t="str">
        <f>'Student Enrollment Data'!C113</f>
        <v>Murtaugh Joint School District # 418</v>
      </c>
      <c r="D111">
        <v>0</v>
      </c>
      <c r="E111" s="34">
        <f>IF(settings!$G$4=0,'Student Enrollment Data'!BA113,'Student Enrollment Data'!CN113)</f>
        <v>213</v>
      </c>
      <c r="F111" s="34">
        <f>IF(settings!$G$4=0,'Student Enrollment Data'!BB113,'Student Enrollment Data'!CO113)</f>
        <v>130</v>
      </c>
      <c r="G111" s="34">
        <f t="shared" si="15"/>
        <v>1</v>
      </c>
      <c r="H111" s="34">
        <f t="shared" si="16"/>
        <v>1</v>
      </c>
      <c r="I111" s="34">
        <f t="shared" si="17"/>
        <v>1</v>
      </c>
      <c r="J111" s="36">
        <f t="shared" si="18"/>
        <v>1.3722727272727273</v>
      </c>
      <c r="K111" s="36">
        <f t="shared" si="19"/>
        <v>1.8931034482758622</v>
      </c>
      <c r="L111" s="36">
        <f t="shared" si="20"/>
        <v>1.1861363636363638</v>
      </c>
      <c r="M111" s="36">
        <f t="shared" si="21"/>
        <v>1.8146551724137931</v>
      </c>
      <c r="N111" s="36">
        <f t="shared" si="22"/>
        <v>292.29409090909093</v>
      </c>
      <c r="O111" s="36">
        <f t="shared" si="23"/>
        <v>246.10344827586209</v>
      </c>
      <c r="P111" s="36">
        <f t="shared" si="24"/>
        <v>538.39753918495308</v>
      </c>
      <c r="Q111" s="36">
        <f t="shared" si="25"/>
        <v>252.64704545454549</v>
      </c>
      <c r="R111" s="36">
        <f t="shared" si="26"/>
        <v>235.90517241379311</v>
      </c>
      <c r="S111" s="37">
        <f t="shared" si="27"/>
        <v>488.55221786833863</v>
      </c>
      <c r="T111">
        <f t="shared" si="28"/>
        <v>538.39753918495308</v>
      </c>
      <c r="U111">
        <f t="shared" si="29"/>
        <v>488.55221786833863</v>
      </c>
      <c r="V111">
        <f>IF(AND(settings!$D$4=0,settings!$D$7=0),'Small Dist Weight'!P111,IF(AND(settings!$D$4=0,settings!$D$7=1),T111,IF(AND(settings!$D$4=1,settings!$D$7=0),S111,U111)))</f>
        <v>488.55221786833863</v>
      </c>
    </row>
    <row r="112" spans="1:22">
      <c r="A112" t="str">
        <f>'Student Enrollment Data'!A114</f>
        <v>421</v>
      </c>
      <c r="B112">
        <f>'Student Enrollment Data'!B114</f>
        <v>421</v>
      </c>
      <c r="C112" t="str">
        <f>'Student Enrollment Data'!C114</f>
        <v>McCall-Donnelly Joint School District # 421</v>
      </c>
      <c r="D112">
        <v>0</v>
      </c>
      <c r="E112" s="34">
        <f>IF(settings!$G$4=0,'Student Enrollment Data'!BA114,'Student Enrollment Data'!CN114)</f>
        <v>653</v>
      </c>
      <c r="F112" s="34">
        <f>IF(settings!$G$4=0,'Student Enrollment Data'!BB114,'Student Enrollment Data'!CO114)</f>
        <v>576</v>
      </c>
      <c r="G112" s="34">
        <f t="shared" si="15"/>
        <v>0</v>
      </c>
      <c r="H112" s="34">
        <f t="shared" si="16"/>
        <v>1</v>
      </c>
      <c r="I112" s="34">
        <f t="shared" si="17"/>
        <v>0</v>
      </c>
      <c r="J112" s="36" t="str">
        <f t="shared" si="18"/>
        <v/>
      </c>
      <c r="K112" s="36">
        <f t="shared" si="19"/>
        <v>1.3548275862068966</v>
      </c>
      <c r="L112" s="36">
        <f t="shared" si="20"/>
        <v>0</v>
      </c>
      <c r="M112" s="36">
        <f t="shared" si="21"/>
        <v>1.1774137931034483</v>
      </c>
      <c r="N112" s="36">
        <f t="shared" si="22"/>
        <v>653</v>
      </c>
      <c r="O112" s="36">
        <f t="shared" si="23"/>
        <v>780.38068965517243</v>
      </c>
      <c r="P112" s="36">
        <f t="shared" si="24"/>
        <v>1433.3806896551723</v>
      </c>
      <c r="Q112" s="36">
        <f t="shared" si="25"/>
        <v>653</v>
      </c>
      <c r="R112" s="36">
        <f t="shared" si="26"/>
        <v>678.19034482758616</v>
      </c>
      <c r="S112" s="37">
        <f t="shared" si="27"/>
        <v>1331.1903448275862</v>
      </c>
      <c r="T112">
        <f t="shared" si="28"/>
        <v>1433.3806896551723</v>
      </c>
      <c r="U112">
        <f t="shared" si="29"/>
        <v>1331.1903448275862</v>
      </c>
      <c r="V112">
        <f>IF(AND(settings!$D$4=0,settings!$D$7=0),'Small Dist Weight'!P112,IF(AND(settings!$D$4=0,settings!$D$7=1),T112,IF(AND(settings!$D$4=1,settings!$D$7=0),S112,U112)))</f>
        <v>1331.1903448275862</v>
      </c>
    </row>
    <row r="113" spans="1:22">
      <c r="A113" t="str">
        <f>'Student Enrollment Data'!A115</f>
        <v>422</v>
      </c>
      <c r="B113">
        <f>'Student Enrollment Data'!B115</f>
        <v>422</v>
      </c>
      <c r="C113" t="str">
        <f>'Student Enrollment Data'!C115</f>
        <v>Cascade School District # 422</v>
      </c>
      <c r="D113">
        <v>0</v>
      </c>
      <c r="E113" s="34">
        <f>IF(settings!$G$4=0,'Student Enrollment Data'!BA115,'Student Enrollment Data'!CN115)</f>
        <v>96</v>
      </c>
      <c r="F113" s="34">
        <f>IF(settings!$G$4=0,'Student Enrollment Data'!BB115,'Student Enrollment Data'!CO115)</f>
        <v>113</v>
      </c>
      <c r="G113" s="34">
        <f t="shared" si="15"/>
        <v>1</v>
      </c>
      <c r="H113" s="34">
        <f t="shared" si="16"/>
        <v>1</v>
      </c>
      <c r="I113" s="34">
        <f t="shared" si="17"/>
        <v>1</v>
      </c>
      <c r="J113" s="36">
        <f t="shared" si="18"/>
        <v>1.7445454545454546</v>
      </c>
      <c r="K113" s="36">
        <f t="shared" si="19"/>
        <v>1.9136206896551724</v>
      </c>
      <c r="L113" s="36">
        <f t="shared" si="20"/>
        <v>1.5918181818181818</v>
      </c>
      <c r="M113" s="36">
        <f t="shared" si="21"/>
        <v>1.8454310344827587</v>
      </c>
      <c r="N113" s="36">
        <f t="shared" si="22"/>
        <v>167.47636363636366</v>
      </c>
      <c r="O113" s="36">
        <f t="shared" si="23"/>
        <v>216.23913793103449</v>
      </c>
      <c r="P113" s="36">
        <f t="shared" si="24"/>
        <v>383.71550156739818</v>
      </c>
      <c r="Q113" s="36">
        <f t="shared" si="25"/>
        <v>152.81454545454545</v>
      </c>
      <c r="R113" s="36">
        <f t="shared" si="26"/>
        <v>208.53370689655173</v>
      </c>
      <c r="S113" s="37">
        <f t="shared" si="27"/>
        <v>361.34825235109719</v>
      </c>
      <c r="T113">
        <f t="shared" si="28"/>
        <v>383.71550156739818</v>
      </c>
      <c r="U113">
        <f t="shared" si="29"/>
        <v>361.34825235109719</v>
      </c>
      <c r="V113">
        <f>IF(AND(settings!$D$4=0,settings!$D$7=0),'Small Dist Weight'!P113,IF(AND(settings!$D$4=0,settings!$D$7=1),T113,IF(AND(settings!$D$4=1,settings!$D$7=0),S113,U113)))</f>
        <v>361.34825235109719</v>
      </c>
    </row>
    <row r="114" spans="1:22">
      <c r="A114" t="str">
        <f>'Student Enrollment Data'!A116</f>
        <v>431</v>
      </c>
      <c r="B114">
        <f>'Student Enrollment Data'!B116</f>
        <v>431</v>
      </c>
      <c r="C114" t="str">
        <f>'Student Enrollment Data'!C116</f>
        <v>Weiser School District # 431</v>
      </c>
      <c r="D114">
        <v>0</v>
      </c>
      <c r="E114" s="34">
        <f>IF(settings!$G$4=0,'Student Enrollment Data'!BA116,'Student Enrollment Data'!CN116)</f>
        <v>720.64605882352942</v>
      </c>
      <c r="F114" s="34">
        <f>IF(settings!$G$4=0,'Student Enrollment Data'!BB116,'Student Enrollment Data'!CO116)</f>
        <v>802.36465686274505</v>
      </c>
      <c r="G114" s="34">
        <f t="shared" si="15"/>
        <v>0</v>
      </c>
      <c r="H114" s="34">
        <f t="shared" si="16"/>
        <v>1</v>
      </c>
      <c r="I114" s="34">
        <f t="shared" si="17"/>
        <v>0</v>
      </c>
      <c r="J114" s="36" t="str">
        <f t="shared" si="18"/>
        <v/>
      </c>
      <c r="K114" s="36">
        <f t="shared" si="19"/>
        <v>1.0816288624070318</v>
      </c>
      <c r="L114" s="36">
        <f t="shared" si="20"/>
        <v>0</v>
      </c>
      <c r="M114" s="36">
        <f t="shared" si="21"/>
        <v>1.0408144312035161</v>
      </c>
      <c r="N114" s="36">
        <f t="shared" si="22"/>
        <v>720.64605882352942</v>
      </c>
      <c r="O114" s="36">
        <f t="shared" si="23"/>
        <v>867.8607710380594</v>
      </c>
      <c r="P114" s="36">
        <f t="shared" si="24"/>
        <v>1588.5068298615888</v>
      </c>
      <c r="Q114" s="36">
        <f t="shared" si="25"/>
        <v>720.64605882352942</v>
      </c>
      <c r="R114" s="36">
        <f t="shared" si="26"/>
        <v>835.11271395040239</v>
      </c>
      <c r="S114" s="37">
        <f t="shared" si="27"/>
        <v>1555.7587727739319</v>
      </c>
      <c r="T114">
        <f t="shared" si="28"/>
        <v>1588.5068298615888</v>
      </c>
      <c r="U114">
        <f t="shared" si="29"/>
        <v>1555.7587727739319</v>
      </c>
      <c r="V114">
        <f>IF(AND(settings!$D$4=0,settings!$D$7=0),'Small Dist Weight'!P114,IF(AND(settings!$D$4=0,settings!$D$7=1),T114,IF(AND(settings!$D$4=1,settings!$D$7=0),S114,U114)))</f>
        <v>1555.7587727739319</v>
      </c>
    </row>
    <row r="115" spans="1:22">
      <c r="A115" t="str">
        <f>'Student Enrollment Data'!A117</f>
        <v>432</v>
      </c>
      <c r="B115">
        <f>'Student Enrollment Data'!B117</f>
        <v>432</v>
      </c>
      <c r="C115" t="str">
        <f>'Student Enrollment Data'!C117</f>
        <v>Cambridge Joint School District # 432</v>
      </c>
      <c r="D115">
        <v>0</v>
      </c>
      <c r="E115" s="34">
        <f>IF(settings!$G$4=0,'Student Enrollment Data'!BA117,'Student Enrollment Data'!CN117)</f>
        <v>63</v>
      </c>
      <c r="F115" s="34">
        <f>IF(settings!$G$4=0,'Student Enrollment Data'!BB117,'Student Enrollment Data'!CO117)</f>
        <v>100</v>
      </c>
      <c r="G115" s="34">
        <f t="shared" si="15"/>
        <v>1</v>
      </c>
      <c r="H115" s="34">
        <f t="shared" si="16"/>
        <v>1</v>
      </c>
      <c r="I115" s="34">
        <f t="shared" si="17"/>
        <v>1</v>
      </c>
      <c r="J115" s="36">
        <f t="shared" si="18"/>
        <v>1.8495454545454546</v>
      </c>
      <c r="K115" s="36">
        <f t="shared" si="19"/>
        <v>1.9293103448275861</v>
      </c>
      <c r="L115" s="36">
        <f t="shared" si="20"/>
        <v>1.7493181818181818</v>
      </c>
      <c r="M115" s="36">
        <f t="shared" si="21"/>
        <v>1.8689655172413793</v>
      </c>
      <c r="N115" s="36">
        <f t="shared" si="22"/>
        <v>116.52136363636365</v>
      </c>
      <c r="O115" s="36">
        <f t="shared" si="23"/>
        <v>192.93103448275861</v>
      </c>
      <c r="P115" s="36">
        <f t="shared" si="24"/>
        <v>309.45239811912222</v>
      </c>
      <c r="Q115" s="36">
        <f t="shared" si="25"/>
        <v>110.20704545454545</v>
      </c>
      <c r="R115" s="36">
        <f t="shared" si="26"/>
        <v>186.89655172413794</v>
      </c>
      <c r="S115" s="37">
        <f t="shared" si="27"/>
        <v>297.1035971786834</v>
      </c>
      <c r="T115">
        <f t="shared" si="28"/>
        <v>309.45239811912222</v>
      </c>
      <c r="U115">
        <f t="shared" si="29"/>
        <v>297.1035971786834</v>
      </c>
      <c r="V115">
        <f>IF(AND(settings!$D$4=0,settings!$D$7=0),'Small Dist Weight'!P115,IF(AND(settings!$D$4=0,settings!$D$7=1),T115,IF(AND(settings!$D$4=1,settings!$D$7=0),S115,U115)))</f>
        <v>297.1035971786834</v>
      </c>
    </row>
    <row r="116" spans="1:22">
      <c r="A116" t="str">
        <f>'Student Enrollment Data'!A118</f>
        <v>433</v>
      </c>
      <c r="B116">
        <f>'Student Enrollment Data'!B118</f>
        <v>433</v>
      </c>
      <c r="C116" t="str">
        <f>'Student Enrollment Data'!C118</f>
        <v>Midvale School District # 433</v>
      </c>
      <c r="D116">
        <v>0</v>
      </c>
      <c r="E116" s="34">
        <f>IF(settings!$G$4=0,'Student Enrollment Data'!BA118,'Student Enrollment Data'!CN118)</f>
        <v>53</v>
      </c>
      <c r="F116" s="34">
        <f>IF(settings!$G$4=0,'Student Enrollment Data'!BB118,'Student Enrollment Data'!CO118)</f>
        <v>100</v>
      </c>
      <c r="G116" s="34">
        <f t="shared" si="15"/>
        <v>1</v>
      </c>
      <c r="H116" s="34">
        <f t="shared" si="16"/>
        <v>1</v>
      </c>
      <c r="I116" s="34">
        <f t="shared" si="17"/>
        <v>1</v>
      </c>
      <c r="J116" s="36">
        <f t="shared" si="18"/>
        <v>1.8813636363636363</v>
      </c>
      <c r="K116" s="36">
        <f t="shared" si="19"/>
        <v>1.9293103448275861</v>
      </c>
      <c r="L116" s="36">
        <f t="shared" si="20"/>
        <v>1.7970454545454546</v>
      </c>
      <c r="M116" s="36">
        <f t="shared" si="21"/>
        <v>1.8689655172413793</v>
      </c>
      <c r="N116" s="36">
        <f t="shared" si="22"/>
        <v>99.712272727272733</v>
      </c>
      <c r="O116" s="36">
        <f t="shared" si="23"/>
        <v>192.93103448275861</v>
      </c>
      <c r="P116" s="36">
        <f t="shared" si="24"/>
        <v>292.64330721003137</v>
      </c>
      <c r="Q116" s="36">
        <f t="shared" si="25"/>
        <v>95.243409090909097</v>
      </c>
      <c r="R116" s="36">
        <f t="shared" si="26"/>
        <v>186.89655172413794</v>
      </c>
      <c r="S116" s="37">
        <f t="shared" si="27"/>
        <v>282.13996081504706</v>
      </c>
      <c r="T116">
        <f t="shared" si="28"/>
        <v>292.64330721003137</v>
      </c>
      <c r="U116">
        <f t="shared" si="29"/>
        <v>282.13996081504706</v>
      </c>
      <c r="V116">
        <f>IF(AND(settings!$D$4=0,settings!$D$7=0),'Small Dist Weight'!P116,IF(AND(settings!$D$4=0,settings!$D$7=1),T116,IF(AND(settings!$D$4=1,settings!$D$7=0),S116,U116)))</f>
        <v>282.13996081504706</v>
      </c>
    </row>
    <row r="117" spans="1:22">
      <c r="A117" t="str">
        <f>'Student Enrollment Data'!A119</f>
        <v>451</v>
      </c>
      <c r="B117">
        <f>'Student Enrollment Data'!B119</f>
        <v>451</v>
      </c>
      <c r="C117" t="str">
        <f>'Student Enrollment Data'!C119</f>
        <v>Victory Charter School # 451</v>
      </c>
      <c r="D117">
        <v>1</v>
      </c>
      <c r="E117" s="34">
        <f>IF(settings!$G$4=0,'Student Enrollment Data'!BA119,'Student Enrollment Data'!CN119)</f>
        <v>192</v>
      </c>
      <c r="F117" s="34">
        <f>IF(settings!$G$4=0,'Student Enrollment Data'!BB119,'Student Enrollment Data'!CO119)</f>
        <v>202</v>
      </c>
      <c r="G117" s="34">
        <f t="shared" si="15"/>
        <v>1</v>
      </c>
      <c r="H117" s="34">
        <f t="shared" si="16"/>
        <v>1</v>
      </c>
      <c r="I117" s="34">
        <f t="shared" si="17"/>
        <v>1</v>
      </c>
      <c r="J117" s="36">
        <f t="shared" si="18"/>
        <v>1.439090909090909</v>
      </c>
      <c r="K117" s="36">
        <f t="shared" si="19"/>
        <v>1.8062068965517242</v>
      </c>
      <c r="L117" s="36">
        <f t="shared" si="20"/>
        <v>1.2195454545454547</v>
      </c>
      <c r="M117" s="36">
        <f t="shared" si="21"/>
        <v>1.6843103448275862</v>
      </c>
      <c r="N117" s="36">
        <f t="shared" si="22"/>
        <v>276.3054545454545</v>
      </c>
      <c r="O117" s="36">
        <f t="shared" si="23"/>
        <v>364.85379310344831</v>
      </c>
      <c r="P117" s="36">
        <f t="shared" si="24"/>
        <v>641.15924764890281</v>
      </c>
      <c r="Q117" s="36">
        <f t="shared" si="25"/>
        <v>234.1527272727273</v>
      </c>
      <c r="R117" s="36">
        <f t="shared" si="26"/>
        <v>340.2306896551724</v>
      </c>
      <c r="S117" s="37">
        <f t="shared" si="27"/>
        <v>574.3834169278997</v>
      </c>
      <c r="T117">
        <f t="shared" si="28"/>
        <v>394</v>
      </c>
      <c r="U117">
        <f t="shared" si="29"/>
        <v>394</v>
      </c>
      <c r="V117">
        <f>IF(AND(settings!$D$4=0,settings!$D$7=0),'Small Dist Weight'!P117,IF(AND(settings!$D$4=0,settings!$D$7=1),T117,IF(AND(settings!$D$4=1,settings!$D$7=0),S117,U117)))</f>
        <v>574.3834169278997</v>
      </c>
    </row>
    <row r="118" spans="1:22">
      <c r="A118" t="str">
        <f>'Student Enrollment Data'!A120</f>
        <v>452</v>
      </c>
      <c r="B118">
        <f>'Student Enrollment Data'!B120</f>
        <v>452</v>
      </c>
      <c r="C118" t="str">
        <f>'Student Enrollment Data'!C120</f>
        <v>Idaho Virtual Academy # 452</v>
      </c>
      <c r="D118">
        <v>1</v>
      </c>
      <c r="E118" s="34">
        <f>IF(settings!$G$4=0,'Student Enrollment Data'!BA120,'Student Enrollment Data'!CN120)</f>
        <v>609.5</v>
      </c>
      <c r="F118" s="34">
        <f>IF(settings!$G$4=0,'Student Enrollment Data'!BB120,'Student Enrollment Data'!CO120)</f>
        <v>1152.8156862745097</v>
      </c>
      <c r="G118" s="34">
        <f t="shared" si="15"/>
        <v>0</v>
      </c>
      <c r="H118" s="34">
        <f t="shared" si="16"/>
        <v>0</v>
      </c>
      <c r="I118" s="34">
        <f t="shared" si="17"/>
        <v>0</v>
      </c>
      <c r="J118" s="36" t="str">
        <f t="shared" si="18"/>
        <v/>
      </c>
      <c r="K118" s="36" t="str">
        <f t="shared" si="19"/>
        <v/>
      </c>
      <c r="L118" s="36">
        <f t="shared" si="20"/>
        <v>0</v>
      </c>
      <c r="M118" s="36">
        <f t="shared" si="21"/>
        <v>0</v>
      </c>
      <c r="N118" s="36">
        <f t="shared" si="22"/>
        <v>609.5</v>
      </c>
      <c r="O118" s="36">
        <f t="shared" si="23"/>
        <v>1152.8156862745097</v>
      </c>
      <c r="P118" s="36">
        <f t="shared" si="24"/>
        <v>1762.3156862745097</v>
      </c>
      <c r="Q118" s="36">
        <f t="shared" si="25"/>
        <v>609.5</v>
      </c>
      <c r="R118" s="36">
        <f t="shared" si="26"/>
        <v>1152.8156862745097</v>
      </c>
      <c r="S118" s="37">
        <f t="shared" si="27"/>
        <v>1762.3156862745097</v>
      </c>
      <c r="T118">
        <f t="shared" si="28"/>
        <v>1762.3156862745097</v>
      </c>
      <c r="U118">
        <f t="shared" si="29"/>
        <v>1762.3156862745097</v>
      </c>
      <c r="V118">
        <f>IF(AND(settings!$D$4=0,settings!$D$7=0),'Small Dist Weight'!P118,IF(AND(settings!$D$4=0,settings!$D$7=1),T118,IF(AND(settings!$D$4=1,settings!$D$7=0),S118,U118)))</f>
        <v>1762.3156862745097</v>
      </c>
    </row>
    <row r="119" spans="1:22">
      <c r="A119" t="str">
        <f>'Student Enrollment Data'!A121</f>
        <v>453</v>
      </c>
      <c r="B119">
        <f>'Student Enrollment Data'!B121</f>
        <v>453</v>
      </c>
      <c r="C119" t="str">
        <f>'Student Enrollment Data'!C121</f>
        <v>McKenna Charter School # 453</v>
      </c>
      <c r="D119">
        <v>1</v>
      </c>
      <c r="E119" s="34">
        <f>IF(settings!$G$4=0,'Student Enrollment Data'!BA121,'Student Enrollment Data'!CN121)</f>
        <v>83.5</v>
      </c>
      <c r="F119" s="34">
        <f>IF(settings!$G$4=0,'Student Enrollment Data'!BB121,'Student Enrollment Data'!CO121)</f>
        <v>403.76568627450979</v>
      </c>
      <c r="G119" s="34">
        <f t="shared" si="15"/>
        <v>1</v>
      </c>
      <c r="H119" s="34">
        <f t="shared" si="16"/>
        <v>1</v>
      </c>
      <c r="I119" s="34">
        <f t="shared" si="17"/>
        <v>1</v>
      </c>
      <c r="J119" s="36">
        <f t="shared" si="18"/>
        <v>1.7843181818181819</v>
      </c>
      <c r="K119" s="36">
        <f t="shared" si="19"/>
        <v>1.5626965855307642</v>
      </c>
      <c r="L119" s="36">
        <f t="shared" si="20"/>
        <v>1.6514772727272726</v>
      </c>
      <c r="M119" s="36">
        <f t="shared" si="21"/>
        <v>1.3190448782961459</v>
      </c>
      <c r="N119" s="36">
        <f t="shared" si="22"/>
        <v>148.99056818181819</v>
      </c>
      <c r="O119" s="36">
        <f t="shared" si="23"/>
        <v>630.96325929566217</v>
      </c>
      <c r="P119" s="36">
        <f t="shared" si="24"/>
        <v>779.95382747748033</v>
      </c>
      <c r="Q119" s="36">
        <f t="shared" si="25"/>
        <v>137.89835227272727</v>
      </c>
      <c r="R119" s="36">
        <f t="shared" si="26"/>
        <v>532.58506051212055</v>
      </c>
      <c r="S119" s="37">
        <f t="shared" si="27"/>
        <v>670.48341278484781</v>
      </c>
      <c r="T119">
        <f t="shared" si="28"/>
        <v>487.26568627450979</v>
      </c>
      <c r="U119">
        <f t="shared" si="29"/>
        <v>487.26568627450979</v>
      </c>
      <c r="V119">
        <f>IF(AND(settings!$D$4=0,settings!$D$7=0),'Small Dist Weight'!P119,IF(AND(settings!$D$4=0,settings!$D$7=1),T119,IF(AND(settings!$D$4=1,settings!$D$7=0),S119,U119)))</f>
        <v>670.48341278484781</v>
      </c>
    </row>
    <row r="120" spans="1:22">
      <c r="A120" t="str">
        <f>'Student Enrollment Data'!A122</f>
        <v>454</v>
      </c>
      <c r="B120">
        <f>'Student Enrollment Data'!B122</f>
        <v>454</v>
      </c>
      <c r="C120" t="str">
        <f>'Student Enrollment Data'!C122</f>
        <v>Rolling Hills Charter School # 454</v>
      </c>
      <c r="D120">
        <v>1</v>
      </c>
      <c r="E120" s="34">
        <f>IF(settings!$G$4=0,'Student Enrollment Data'!BA122,'Student Enrollment Data'!CN122)</f>
        <v>182.5</v>
      </c>
      <c r="F120" s="34">
        <f>IF(settings!$G$4=0,'Student Enrollment Data'!BB122,'Student Enrollment Data'!CO122)</f>
        <v>52</v>
      </c>
      <c r="G120" s="34">
        <f t="shared" si="15"/>
        <v>1</v>
      </c>
      <c r="H120" s="34">
        <f t="shared" si="16"/>
        <v>1</v>
      </c>
      <c r="I120" s="34">
        <f t="shared" si="17"/>
        <v>1</v>
      </c>
      <c r="J120" s="36">
        <f t="shared" si="18"/>
        <v>1.4693181818181817</v>
      </c>
      <c r="K120" s="36">
        <f t="shared" si="19"/>
        <v>1.9872413793103449</v>
      </c>
      <c r="L120" s="36">
        <f t="shared" si="20"/>
        <v>1.2346590909090911</v>
      </c>
      <c r="M120" s="36">
        <f t="shared" si="21"/>
        <v>1.9558620689655173</v>
      </c>
      <c r="N120" s="36">
        <f t="shared" si="22"/>
        <v>268.15056818181819</v>
      </c>
      <c r="O120" s="36">
        <f t="shared" si="23"/>
        <v>103.33655172413793</v>
      </c>
      <c r="P120" s="36">
        <f t="shared" si="24"/>
        <v>371.48711990595609</v>
      </c>
      <c r="Q120" s="36">
        <f t="shared" si="25"/>
        <v>225.32528409090912</v>
      </c>
      <c r="R120" s="36">
        <f t="shared" si="26"/>
        <v>101.7048275862069</v>
      </c>
      <c r="S120" s="37">
        <f t="shared" si="27"/>
        <v>327.030111677116</v>
      </c>
      <c r="T120">
        <f t="shared" si="28"/>
        <v>234.5</v>
      </c>
      <c r="U120">
        <f t="shared" si="29"/>
        <v>234.5</v>
      </c>
      <c r="V120">
        <f>IF(AND(settings!$D$4=0,settings!$D$7=0),'Small Dist Weight'!P120,IF(AND(settings!$D$4=0,settings!$D$7=1),T120,IF(AND(settings!$D$4=1,settings!$D$7=0),S120,U120)))</f>
        <v>327.030111677116</v>
      </c>
    </row>
    <row r="121" spans="1:22">
      <c r="A121" t="str">
        <f>'Student Enrollment Data'!A123</f>
        <v>455</v>
      </c>
      <c r="B121">
        <f>'Student Enrollment Data'!B123</f>
        <v>455</v>
      </c>
      <c r="C121" t="str">
        <f>'Student Enrollment Data'!C123</f>
        <v>Compass Public Charter School # 455</v>
      </c>
      <c r="D121">
        <v>1</v>
      </c>
      <c r="E121" s="34">
        <f>IF(settings!$G$4=0,'Student Enrollment Data'!BA123,'Student Enrollment Data'!CN123)</f>
        <v>632.5</v>
      </c>
      <c r="F121" s="34">
        <f>IF(settings!$G$4=0,'Student Enrollment Data'!BB123,'Student Enrollment Data'!CO123)</f>
        <v>401</v>
      </c>
      <c r="G121" s="34">
        <f t="shared" si="15"/>
        <v>0</v>
      </c>
      <c r="H121" s="34">
        <f t="shared" si="16"/>
        <v>1</v>
      </c>
      <c r="I121" s="34">
        <f t="shared" si="17"/>
        <v>0</v>
      </c>
      <c r="J121" s="36" t="str">
        <f t="shared" si="18"/>
        <v/>
      </c>
      <c r="K121" s="36">
        <f t="shared" si="19"/>
        <v>1.5660344827586208</v>
      </c>
      <c r="L121" s="36">
        <f t="shared" si="20"/>
        <v>0</v>
      </c>
      <c r="M121" s="36">
        <f t="shared" si="21"/>
        <v>1.324051724137931</v>
      </c>
      <c r="N121" s="36">
        <f t="shared" si="22"/>
        <v>632.5</v>
      </c>
      <c r="O121" s="36">
        <f t="shared" si="23"/>
        <v>627.97982758620697</v>
      </c>
      <c r="P121" s="36">
        <f t="shared" si="24"/>
        <v>1260.479827586207</v>
      </c>
      <c r="Q121" s="36">
        <f t="shared" si="25"/>
        <v>632.5</v>
      </c>
      <c r="R121" s="36">
        <f t="shared" si="26"/>
        <v>530.94474137931036</v>
      </c>
      <c r="S121" s="37">
        <f t="shared" si="27"/>
        <v>1163.4447413793105</v>
      </c>
      <c r="T121">
        <f t="shared" si="28"/>
        <v>1033.5</v>
      </c>
      <c r="U121">
        <f t="shared" si="29"/>
        <v>1033.5</v>
      </c>
      <c r="V121">
        <f>IF(AND(settings!$D$4=0,settings!$D$7=0),'Small Dist Weight'!P121,IF(AND(settings!$D$4=0,settings!$D$7=1),T121,IF(AND(settings!$D$4=1,settings!$D$7=0),S121,U121)))</f>
        <v>1163.4447413793105</v>
      </c>
    </row>
    <row r="122" spans="1:22">
      <c r="A122" t="str">
        <f>'Student Enrollment Data'!A124</f>
        <v>456</v>
      </c>
      <c r="B122">
        <f>'Student Enrollment Data'!B124</f>
        <v>456</v>
      </c>
      <c r="C122" t="str">
        <f>'Student Enrollment Data'!C124</f>
        <v>Falcon Ridge Public Charter School # 456</v>
      </c>
      <c r="D122">
        <v>1</v>
      </c>
      <c r="E122" s="34">
        <f>IF(settings!$G$4=0,'Student Enrollment Data'!BA124,'Student Enrollment Data'!CN124)</f>
        <v>198</v>
      </c>
      <c r="F122" s="34">
        <f>IF(settings!$G$4=0,'Student Enrollment Data'!BB124,'Student Enrollment Data'!CO124)</f>
        <v>63</v>
      </c>
      <c r="G122" s="34">
        <f t="shared" si="15"/>
        <v>1</v>
      </c>
      <c r="H122" s="34">
        <f t="shared" si="16"/>
        <v>1</v>
      </c>
      <c r="I122" s="34">
        <f t="shared" si="17"/>
        <v>1</v>
      </c>
      <c r="J122" s="36">
        <f t="shared" si="18"/>
        <v>1.42</v>
      </c>
      <c r="K122" s="36">
        <f t="shared" si="19"/>
        <v>1.9739655172413793</v>
      </c>
      <c r="L122" s="36">
        <f t="shared" si="20"/>
        <v>1.2100000000000002</v>
      </c>
      <c r="M122" s="36">
        <f t="shared" si="21"/>
        <v>1.935948275862069</v>
      </c>
      <c r="N122" s="36">
        <f t="shared" si="22"/>
        <v>281.15999999999997</v>
      </c>
      <c r="O122" s="36">
        <f t="shared" si="23"/>
        <v>124.35982758620689</v>
      </c>
      <c r="P122" s="36">
        <f t="shared" si="24"/>
        <v>405.51982758620687</v>
      </c>
      <c r="Q122" s="36">
        <f t="shared" si="25"/>
        <v>239.58000000000004</v>
      </c>
      <c r="R122" s="36">
        <f t="shared" si="26"/>
        <v>121.96474137931034</v>
      </c>
      <c r="S122" s="37">
        <f t="shared" si="27"/>
        <v>361.54474137931038</v>
      </c>
      <c r="T122">
        <f t="shared" si="28"/>
        <v>261</v>
      </c>
      <c r="U122">
        <f t="shared" si="29"/>
        <v>261</v>
      </c>
      <c r="V122">
        <f>IF(AND(settings!$D$4=0,settings!$D$7=0),'Small Dist Weight'!P122,IF(AND(settings!$D$4=0,settings!$D$7=1),T122,IF(AND(settings!$D$4=1,settings!$D$7=0),S122,U122)))</f>
        <v>361.54474137931038</v>
      </c>
    </row>
    <row r="123" spans="1:22">
      <c r="A123" t="str">
        <f>'Student Enrollment Data'!A125</f>
        <v>457</v>
      </c>
      <c r="B123">
        <f>'Student Enrollment Data'!B125</f>
        <v>457</v>
      </c>
      <c r="C123" t="str">
        <f>'Student Enrollment Data'!C125</f>
        <v>INSPIRE Connections Academy # 457</v>
      </c>
      <c r="D123">
        <v>1</v>
      </c>
      <c r="E123" s="34">
        <f>IF(settings!$G$4=0,'Student Enrollment Data'!BA125,'Student Enrollment Data'!CN125)</f>
        <v>268.5</v>
      </c>
      <c r="F123" s="34">
        <f>IF(settings!$G$4=0,'Student Enrollment Data'!BB125,'Student Enrollment Data'!CO125)</f>
        <v>695</v>
      </c>
      <c r="G123" s="34">
        <f t="shared" si="15"/>
        <v>1</v>
      </c>
      <c r="H123" s="34">
        <f t="shared" si="16"/>
        <v>1</v>
      </c>
      <c r="I123" s="34">
        <f t="shared" si="17"/>
        <v>1</v>
      </c>
      <c r="J123" s="36">
        <f t="shared" si="18"/>
        <v>1.1956818181818183</v>
      </c>
      <c r="K123" s="36">
        <f t="shared" si="19"/>
        <v>1.2112068965517242</v>
      </c>
      <c r="L123" s="36">
        <f t="shared" si="20"/>
        <v>1.0978409090909091</v>
      </c>
      <c r="M123" s="36">
        <f t="shared" si="21"/>
        <v>1.1056034482758621</v>
      </c>
      <c r="N123" s="36">
        <f t="shared" si="22"/>
        <v>321.04056818181823</v>
      </c>
      <c r="O123" s="36">
        <f t="shared" si="23"/>
        <v>841.78879310344837</v>
      </c>
      <c r="P123" s="36">
        <f t="shared" si="24"/>
        <v>1162.8293612852667</v>
      </c>
      <c r="Q123" s="36">
        <f t="shared" si="25"/>
        <v>294.77028409090912</v>
      </c>
      <c r="R123" s="36">
        <f t="shared" si="26"/>
        <v>768.39439655172418</v>
      </c>
      <c r="S123" s="37">
        <f t="shared" si="27"/>
        <v>1063.1646806426334</v>
      </c>
      <c r="T123">
        <f t="shared" si="28"/>
        <v>963.5</v>
      </c>
      <c r="U123">
        <f t="shared" si="29"/>
        <v>963.5</v>
      </c>
      <c r="V123">
        <f>IF(AND(settings!$D$4=0,settings!$D$7=0),'Small Dist Weight'!P123,IF(AND(settings!$D$4=0,settings!$D$7=1),T123,IF(AND(settings!$D$4=1,settings!$D$7=0),S123,U123)))</f>
        <v>1063.1646806426334</v>
      </c>
    </row>
    <row r="124" spans="1:22">
      <c r="A124" t="str">
        <f>'Student Enrollment Data'!A126</f>
        <v>458</v>
      </c>
      <c r="B124">
        <f>'Student Enrollment Data'!B126</f>
        <v>458</v>
      </c>
      <c r="C124" t="str">
        <f>'Student Enrollment Data'!C126</f>
        <v>Liberty Charter School # 458</v>
      </c>
      <c r="D124">
        <v>1</v>
      </c>
      <c r="E124" s="34">
        <f>IF(settings!$G$4=0,'Student Enrollment Data'!BA126,'Student Enrollment Data'!CN126)</f>
        <v>192</v>
      </c>
      <c r="F124" s="34">
        <f>IF(settings!$G$4=0,'Student Enrollment Data'!BB126,'Student Enrollment Data'!CO126)</f>
        <v>209</v>
      </c>
      <c r="G124" s="34">
        <f t="shared" si="15"/>
        <v>1</v>
      </c>
      <c r="H124" s="34">
        <f t="shared" si="16"/>
        <v>1</v>
      </c>
      <c r="I124" s="34">
        <f t="shared" si="17"/>
        <v>1</v>
      </c>
      <c r="J124" s="36">
        <f t="shared" si="18"/>
        <v>1.439090909090909</v>
      </c>
      <c r="K124" s="36">
        <f t="shared" si="19"/>
        <v>1.7977586206896552</v>
      </c>
      <c r="L124" s="36">
        <f t="shared" si="20"/>
        <v>1.2195454545454547</v>
      </c>
      <c r="M124" s="36">
        <f t="shared" si="21"/>
        <v>1.6716379310344829</v>
      </c>
      <c r="N124" s="36">
        <f t="shared" si="22"/>
        <v>276.3054545454545</v>
      </c>
      <c r="O124" s="36">
        <f t="shared" si="23"/>
        <v>375.73155172413794</v>
      </c>
      <c r="P124" s="36">
        <f t="shared" si="24"/>
        <v>652.03700626959244</v>
      </c>
      <c r="Q124" s="36">
        <f t="shared" si="25"/>
        <v>234.1527272727273</v>
      </c>
      <c r="R124" s="36">
        <f t="shared" si="26"/>
        <v>349.37232758620695</v>
      </c>
      <c r="S124" s="37">
        <f t="shared" si="27"/>
        <v>583.52505485893425</v>
      </c>
      <c r="T124">
        <f t="shared" si="28"/>
        <v>401</v>
      </c>
      <c r="U124">
        <f t="shared" si="29"/>
        <v>401</v>
      </c>
      <c r="V124">
        <f>IF(AND(settings!$D$4=0,settings!$D$7=0),'Small Dist Weight'!P124,IF(AND(settings!$D$4=0,settings!$D$7=1),T124,IF(AND(settings!$D$4=1,settings!$D$7=0),S124,U124)))</f>
        <v>583.52505485893425</v>
      </c>
    </row>
    <row r="125" spans="1:22">
      <c r="A125" t="str">
        <f>'Student Enrollment Data'!A127</f>
        <v>460</v>
      </c>
      <c r="B125">
        <f>'Student Enrollment Data'!B127</f>
        <v>460</v>
      </c>
      <c r="C125" t="str">
        <f>'Student Enrollment Data'!C127</f>
        <v>Connor Academy # 460</v>
      </c>
      <c r="D125">
        <v>1</v>
      </c>
      <c r="E125" s="34">
        <f>IF(settings!$G$4=0,'Student Enrollment Data'!BA127,'Student Enrollment Data'!CN127)</f>
        <v>399</v>
      </c>
      <c r="F125" s="34">
        <f>IF(settings!$G$4=0,'Student Enrollment Data'!BB127,'Student Enrollment Data'!CO127)</f>
        <v>129</v>
      </c>
      <c r="G125" s="34">
        <f t="shared" si="15"/>
        <v>0</v>
      </c>
      <c r="H125" s="34">
        <f t="shared" si="16"/>
        <v>1</v>
      </c>
      <c r="I125" s="34">
        <f t="shared" si="17"/>
        <v>0</v>
      </c>
      <c r="J125" s="36" t="str">
        <f t="shared" si="18"/>
        <v/>
      </c>
      <c r="K125" s="36">
        <f t="shared" si="19"/>
        <v>1.8943103448275862</v>
      </c>
      <c r="L125" s="36">
        <f t="shared" si="20"/>
        <v>0</v>
      </c>
      <c r="M125" s="36">
        <f t="shared" si="21"/>
        <v>1.8164655172413793</v>
      </c>
      <c r="N125" s="36">
        <f t="shared" si="22"/>
        <v>399</v>
      </c>
      <c r="O125" s="36">
        <f t="shared" si="23"/>
        <v>244.36603448275861</v>
      </c>
      <c r="P125" s="36">
        <f t="shared" si="24"/>
        <v>643.36603448275855</v>
      </c>
      <c r="Q125" s="36">
        <f t="shared" si="25"/>
        <v>399</v>
      </c>
      <c r="R125" s="36">
        <f t="shared" si="26"/>
        <v>234.32405172413792</v>
      </c>
      <c r="S125" s="37">
        <f t="shared" si="27"/>
        <v>633.32405172413792</v>
      </c>
      <c r="T125">
        <f t="shared" si="28"/>
        <v>528</v>
      </c>
      <c r="U125">
        <f t="shared" si="29"/>
        <v>528</v>
      </c>
      <c r="V125">
        <f>IF(AND(settings!$D$4=0,settings!$D$7=0),'Small Dist Weight'!P125,IF(AND(settings!$D$4=0,settings!$D$7=1),T125,IF(AND(settings!$D$4=1,settings!$D$7=0),S125,U125)))</f>
        <v>633.32405172413792</v>
      </c>
    </row>
    <row r="126" spans="1:22">
      <c r="A126" t="str">
        <f>'Student Enrollment Data'!A128</f>
        <v>461</v>
      </c>
      <c r="B126">
        <f>'Student Enrollment Data'!B128</f>
        <v>461</v>
      </c>
      <c r="C126" t="str">
        <f>'Student Enrollment Data'!C128</f>
        <v>Taylor's Crossing Public Charter School # 461</v>
      </c>
      <c r="D126">
        <v>1</v>
      </c>
      <c r="E126" s="34">
        <f>IF(settings!$G$4=0,'Student Enrollment Data'!BA128,'Student Enrollment Data'!CN128)</f>
        <v>207</v>
      </c>
      <c r="F126" s="34">
        <f>IF(settings!$G$4=0,'Student Enrollment Data'!BB128,'Student Enrollment Data'!CO128)</f>
        <v>145</v>
      </c>
      <c r="G126" s="34">
        <f t="shared" si="15"/>
        <v>1</v>
      </c>
      <c r="H126" s="34">
        <f t="shared" si="16"/>
        <v>1</v>
      </c>
      <c r="I126" s="34">
        <f t="shared" si="17"/>
        <v>1</v>
      </c>
      <c r="J126" s="36">
        <f t="shared" si="18"/>
        <v>1.3913636363636364</v>
      </c>
      <c r="K126" s="36">
        <f t="shared" si="19"/>
        <v>1.875</v>
      </c>
      <c r="L126" s="36">
        <f t="shared" si="20"/>
        <v>1.1956818181818183</v>
      </c>
      <c r="M126" s="36">
        <f t="shared" si="21"/>
        <v>1.7875000000000001</v>
      </c>
      <c r="N126" s="36">
        <f t="shared" si="22"/>
        <v>288.01227272727272</v>
      </c>
      <c r="O126" s="36">
        <f t="shared" si="23"/>
        <v>271.875</v>
      </c>
      <c r="P126" s="36">
        <f t="shared" si="24"/>
        <v>559.88727272727272</v>
      </c>
      <c r="Q126" s="36">
        <f t="shared" si="25"/>
        <v>247.50613636363639</v>
      </c>
      <c r="R126" s="36">
        <f t="shared" si="26"/>
        <v>259.1875</v>
      </c>
      <c r="S126" s="37">
        <f t="shared" si="27"/>
        <v>506.69363636363641</v>
      </c>
      <c r="T126">
        <f t="shared" si="28"/>
        <v>352</v>
      </c>
      <c r="U126">
        <f t="shared" si="29"/>
        <v>352</v>
      </c>
      <c r="V126">
        <f>IF(AND(settings!$D$4=0,settings!$D$7=0),'Small Dist Weight'!P126,IF(AND(settings!$D$4=0,settings!$D$7=1),T126,IF(AND(settings!$D$4=1,settings!$D$7=0),S126,U126)))</f>
        <v>506.69363636363641</v>
      </c>
    </row>
    <row r="127" spans="1:22">
      <c r="A127" t="str">
        <f>'Student Enrollment Data'!A129</f>
        <v>462</v>
      </c>
      <c r="B127">
        <f>'Student Enrollment Data'!B129</f>
        <v>462</v>
      </c>
      <c r="C127" t="str">
        <f>'Student Enrollment Data'!C129</f>
        <v>Xavier Charter School # 462</v>
      </c>
      <c r="D127">
        <v>1</v>
      </c>
      <c r="E127" s="34">
        <f>IF(settings!$G$4=0,'Student Enrollment Data'!BA129,'Student Enrollment Data'!CN129)</f>
        <v>389</v>
      </c>
      <c r="F127" s="34">
        <f>IF(settings!$G$4=0,'Student Enrollment Data'!BB129,'Student Enrollment Data'!CO129)</f>
        <v>288</v>
      </c>
      <c r="G127" s="34">
        <f t="shared" si="15"/>
        <v>0</v>
      </c>
      <c r="H127" s="34">
        <f t="shared" si="16"/>
        <v>1</v>
      </c>
      <c r="I127" s="34">
        <f t="shared" si="17"/>
        <v>0</v>
      </c>
      <c r="J127" s="36" t="str">
        <f t="shared" si="18"/>
        <v/>
      </c>
      <c r="K127" s="36">
        <f t="shared" si="19"/>
        <v>1.7024137931034482</v>
      </c>
      <c r="L127" s="36">
        <f t="shared" si="20"/>
        <v>0</v>
      </c>
      <c r="M127" s="36">
        <f t="shared" si="21"/>
        <v>1.5286206896551724</v>
      </c>
      <c r="N127" s="36">
        <f t="shared" si="22"/>
        <v>389</v>
      </c>
      <c r="O127" s="36">
        <f t="shared" si="23"/>
        <v>490.29517241379307</v>
      </c>
      <c r="P127" s="36">
        <f t="shared" si="24"/>
        <v>879.29517241379313</v>
      </c>
      <c r="Q127" s="36">
        <f t="shared" si="25"/>
        <v>389</v>
      </c>
      <c r="R127" s="36">
        <f t="shared" si="26"/>
        <v>440.24275862068964</v>
      </c>
      <c r="S127" s="37">
        <f t="shared" si="27"/>
        <v>829.24275862068964</v>
      </c>
      <c r="T127">
        <f t="shared" si="28"/>
        <v>677</v>
      </c>
      <c r="U127">
        <f t="shared" si="29"/>
        <v>677</v>
      </c>
      <c r="V127">
        <f>IF(AND(settings!$D$4=0,settings!$D$7=0),'Small Dist Weight'!P127,IF(AND(settings!$D$4=0,settings!$D$7=1),T127,IF(AND(settings!$D$4=1,settings!$D$7=0),S127,U127)))</f>
        <v>829.24275862068964</v>
      </c>
    </row>
    <row r="128" spans="1:22">
      <c r="A128" t="str">
        <f>'Student Enrollment Data'!A130</f>
        <v>463</v>
      </c>
      <c r="B128">
        <f>'Student Enrollment Data'!B130</f>
        <v>463</v>
      </c>
      <c r="C128" t="str">
        <f>'Student Enrollment Data'!C130</f>
        <v>Vision Charter School # 463</v>
      </c>
      <c r="D128">
        <v>1</v>
      </c>
      <c r="E128" s="34">
        <f>IF(settings!$G$4=0,'Student Enrollment Data'!BA130,'Student Enrollment Data'!CN130)</f>
        <v>394</v>
      </c>
      <c r="F128" s="34">
        <f>IF(settings!$G$4=0,'Student Enrollment Data'!BB130,'Student Enrollment Data'!CO130)</f>
        <v>302</v>
      </c>
      <c r="G128" s="34">
        <f t="shared" si="15"/>
        <v>0</v>
      </c>
      <c r="H128" s="34">
        <f t="shared" si="16"/>
        <v>1</v>
      </c>
      <c r="I128" s="34">
        <f t="shared" si="17"/>
        <v>0</v>
      </c>
      <c r="J128" s="36" t="str">
        <f t="shared" si="18"/>
        <v/>
      </c>
      <c r="K128" s="36">
        <f t="shared" si="19"/>
        <v>1.6855172413793102</v>
      </c>
      <c r="L128" s="36">
        <f t="shared" si="20"/>
        <v>0</v>
      </c>
      <c r="M128" s="36">
        <f t="shared" si="21"/>
        <v>1.5032758620689655</v>
      </c>
      <c r="N128" s="36">
        <f t="shared" si="22"/>
        <v>394</v>
      </c>
      <c r="O128" s="36">
        <f t="shared" si="23"/>
        <v>509.02620689655168</v>
      </c>
      <c r="P128" s="36">
        <f t="shared" si="24"/>
        <v>903.02620689655168</v>
      </c>
      <c r="Q128" s="36">
        <f t="shared" si="25"/>
        <v>394</v>
      </c>
      <c r="R128" s="36">
        <f t="shared" si="26"/>
        <v>453.98931034482757</v>
      </c>
      <c r="S128" s="37">
        <f t="shared" si="27"/>
        <v>847.98931034482757</v>
      </c>
      <c r="T128">
        <f t="shared" si="28"/>
        <v>696</v>
      </c>
      <c r="U128">
        <f t="shared" si="29"/>
        <v>696</v>
      </c>
      <c r="V128">
        <f>IF(AND(settings!$D$4=0,settings!$D$7=0),'Small Dist Weight'!P128,IF(AND(settings!$D$4=0,settings!$D$7=1),T128,IF(AND(settings!$D$4=1,settings!$D$7=0),S128,U128)))</f>
        <v>847.98931034482757</v>
      </c>
    </row>
    <row r="129" spans="1:22">
      <c r="A129" t="str">
        <f>'Student Enrollment Data'!A131</f>
        <v>464</v>
      </c>
      <c r="B129">
        <f>'Student Enrollment Data'!B131</f>
        <v>464</v>
      </c>
      <c r="C129" t="str">
        <f>'Student Enrollment Data'!C131</f>
        <v>White Pine Charter School # 464</v>
      </c>
      <c r="D129">
        <v>1</v>
      </c>
      <c r="E129" s="34">
        <f>IF(settings!$G$4=0,'Student Enrollment Data'!BA131,'Student Enrollment Data'!CN131)</f>
        <v>425</v>
      </c>
      <c r="F129" s="34">
        <f>IF(settings!$G$4=0,'Student Enrollment Data'!BB131,'Student Enrollment Data'!CO131)</f>
        <v>77</v>
      </c>
      <c r="G129" s="34">
        <f t="shared" si="15"/>
        <v>0</v>
      </c>
      <c r="H129" s="34">
        <f t="shared" si="16"/>
        <v>1</v>
      </c>
      <c r="I129" s="34">
        <f t="shared" si="17"/>
        <v>0</v>
      </c>
      <c r="J129" s="36" t="str">
        <f t="shared" si="18"/>
        <v/>
      </c>
      <c r="K129" s="36">
        <f t="shared" si="19"/>
        <v>1.9570689655172413</v>
      </c>
      <c r="L129" s="36">
        <f t="shared" si="20"/>
        <v>0</v>
      </c>
      <c r="M129" s="36">
        <f t="shared" si="21"/>
        <v>1.910603448275862</v>
      </c>
      <c r="N129" s="36">
        <f t="shared" si="22"/>
        <v>425</v>
      </c>
      <c r="O129" s="36">
        <f t="shared" si="23"/>
        <v>150.69431034482758</v>
      </c>
      <c r="P129" s="36">
        <f t="shared" si="24"/>
        <v>575.69431034482761</v>
      </c>
      <c r="Q129" s="36">
        <f t="shared" si="25"/>
        <v>425</v>
      </c>
      <c r="R129" s="36">
        <f t="shared" si="26"/>
        <v>147.11646551724138</v>
      </c>
      <c r="S129" s="37">
        <f t="shared" si="27"/>
        <v>572.11646551724141</v>
      </c>
      <c r="T129">
        <f t="shared" si="28"/>
        <v>502</v>
      </c>
      <c r="U129">
        <f t="shared" si="29"/>
        <v>502</v>
      </c>
      <c r="V129">
        <f>IF(AND(settings!$D$4=0,settings!$D$7=0),'Small Dist Weight'!P129,IF(AND(settings!$D$4=0,settings!$D$7=1),T129,IF(AND(settings!$D$4=1,settings!$D$7=0),S129,U129)))</f>
        <v>572.11646551724141</v>
      </c>
    </row>
    <row r="130" spans="1:22">
      <c r="A130" t="str">
        <f>'Student Enrollment Data'!A132</f>
        <v>465</v>
      </c>
      <c r="B130">
        <f>'Student Enrollment Data'!B132</f>
        <v>465</v>
      </c>
      <c r="C130" t="str">
        <f>'Student Enrollment Data'!C132</f>
        <v>North Valley Academy # 465</v>
      </c>
      <c r="D130">
        <v>1</v>
      </c>
      <c r="E130" s="34">
        <f>IF(settings!$G$4=0,'Student Enrollment Data'!BA132,'Student Enrollment Data'!CN132)</f>
        <v>125.5</v>
      </c>
      <c r="F130" s="34">
        <f>IF(settings!$G$4=0,'Student Enrollment Data'!BB132,'Student Enrollment Data'!CO132)</f>
        <v>88</v>
      </c>
      <c r="G130" s="34">
        <f t="shared" si="15"/>
        <v>1</v>
      </c>
      <c r="H130" s="34">
        <f t="shared" si="16"/>
        <v>1</v>
      </c>
      <c r="I130" s="34">
        <f t="shared" si="17"/>
        <v>1</v>
      </c>
      <c r="J130" s="36">
        <f t="shared" si="18"/>
        <v>1.6506818181818181</v>
      </c>
      <c r="K130" s="36">
        <f t="shared" si="19"/>
        <v>1.943793103448276</v>
      </c>
      <c r="L130" s="36">
        <f t="shared" si="20"/>
        <v>1.4510227272727274</v>
      </c>
      <c r="M130" s="36">
        <f t="shared" si="21"/>
        <v>1.8906896551724137</v>
      </c>
      <c r="N130" s="36">
        <f t="shared" si="22"/>
        <v>207.16056818181818</v>
      </c>
      <c r="O130" s="36">
        <f t="shared" si="23"/>
        <v>171.0537931034483</v>
      </c>
      <c r="P130" s="36">
        <f t="shared" si="24"/>
        <v>378.21436128526648</v>
      </c>
      <c r="Q130" s="36">
        <f t="shared" si="25"/>
        <v>182.10335227272728</v>
      </c>
      <c r="R130" s="36">
        <f t="shared" si="26"/>
        <v>166.3806896551724</v>
      </c>
      <c r="S130" s="37">
        <f t="shared" si="27"/>
        <v>348.48404192789968</v>
      </c>
      <c r="T130">
        <f t="shared" si="28"/>
        <v>213.5</v>
      </c>
      <c r="U130">
        <f t="shared" si="29"/>
        <v>213.5</v>
      </c>
      <c r="V130">
        <f>IF(AND(settings!$D$4=0,settings!$D$7=0),'Small Dist Weight'!P130,IF(AND(settings!$D$4=0,settings!$D$7=1),T130,IF(AND(settings!$D$4=1,settings!$D$7=0),S130,U130)))</f>
        <v>348.48404192789968</v>
      </c>
    </row>
    <row r="131" spans="1:22">
      <c r="A131" t="str">
        <f>'Student Enrollment Data'!A133</f>
        <v>466</v>
      </c>
      <c r="B131">
        <f>'Student Enrollment Data'!B133</f>
        <v>466</v>
      </c>
      <c r="C131" t="str">
        <f>'Student Enrollment Data'!C133</f>
        <v>iSucceed Virtual High School # 466</v>
      </c>
      <c r="D131">
        <v>1</v>
      </c>
      <c r="E131" s="34">
        <f>IF(settings!$G$4=0,'Student Enrollment Data'!BA133,'Student Enrollment Data'!CN133)</f>
        <v>0</v>
      </c>
      <c r="F131" s="34">
        <f>IF(settings!$G$4=0,'Student Enrollment Data'!BB133,'Student Enrollment Data'!CO133)</f>
        <v>562</v>
      </c>
      <c r="G131" s="34">
        <f t="shared" ref="G131:G159" si="30">IF(E131&lt;$X$5,1,0)</f>
        <v>1</v>
      </c>
      <c r="H131" s="34">
        <f t="shared" ref="H131:H159" si="31">IF(F131&lt;$X$6,1,0)</f>
        <v>1</v>
      </c>
      <c r="I131" s="34">
        <f t="shared" ref="I131:I159" si="32">IF(SUM(G131:H131)=2,1,0)</f>
        <v>1</v>
      </c>
      <c r="J131" s="36">
        <f t="shared" ref="J131:J159" si="33">IF(E131&lt;=$AA$5,1+$Y$5,IF(G131=1,1+($Y$5-(E131*($Y$5/$X$5))),""))</f>
        <v>2.0499999999999998</v>
      </c>
      <c r="K131" s="36">
        <f t="shared" ref="K131:K159" si="34">IF(F131&lt;=$AA$6,1+$Y$6,IF(H131=1,1+($Y$6-(F131*($Y$6/$X$6))),""))</f>
        <v>1.3717241379310345</v>
      </c>
      <c r="L131" s="36">
        <f t="shared" ref="L131:L159" si="35">IF(E131&lt;=$AA$5,1+$Y$10,IF(AND(E131&gt;=$Z$10,E131&lt;$X$10),1-$AA$10+($AA$11-(E131*$AB$10)),IF(AND(E131&lt;$Z$11,E131&lt;$X$11),1+$AA$10+($AA$11-(E131*$AB$11)),0)))</f>
        <v>2.0499999999999998</v>
      </c>
      <c r="M131" s="36">
        <f t="shared" ref="M131:M159" si="36">IF(F131&lt;+$AA$6,1+$Y$12,IF(AND(F131&gt;=$Z$12,F131&lt;$X$12),1-$AA$12+($AA$13-(F131*$AB$12)),IF(AND(F131&lt;$Z$13,F131&lt;$X$13),1+$AA$12+($AA$13-(F131*$AB$13)),0)))</f>
        <v>1.1858620689655175</v>
      </c>
      <c r="N131" s="36">
        <f t="shared" ref="N131:N159" si="37">IF(G131=1,J131*E131,E131)</f>
        <v>0</v>
      </c>
      <c r="O131" s="36">
        <f t="shared" ref="O131:O159" si="38">IF(H131=1,K131*F131,F131)</f>
        <v>770.90896551724143</v>
      </c>
      <c r="P131" s="36">
        <f t="shared" ref="P131:P159" si="39">SUM(N131:O131)</f>
        <v>770.90896551724143</v>
      </c>
      <c r="Q131" s="36">
        <f t="shared" ref="Q131:Q159" si="40">IF(G131=1,E131*L131,E131)</f>
        <v>0</v>
      </c>
      <c r="R131" s="36">
        <f t="shared" ref="R131:R159" si="41">IF(H131=1,F131*M131,F131)</f>
        <v>666.45448275862088</v>
      </c>
      <c r="S131" s="37">
        <f t="shared" ref="S131:S159" si="42">SUM(Q131:R131)</f>
        <v>666.45448275862088</v>
      </c>
      <c r="T131">
        <f t="shared" ref="T131:T159" si="43">IF(D131=0,P131,E131+F131)</f>
        <v>562</v>
      </c>
      <c r="U131">
        <f t="shared" ref="U131:U159" si="44">IF(D131=0,S131,E131+F131)</f>
        <v>562</v>
      </c>
      <c r="V131">
        <f>IF(AND(settings!$D$4=0,settings!$D$7=0),'Small Dist Weight'!P131,IF(AND(settings!$D$4=0,settings!$D$7=1),T131,IF(AND(settings!$D$4=1,settings!$D$7=0),S131,U131)))</f>
        <v>666.45448275862088</v>
      </c>
    </row>
    <row r="132" spans="1:22">
      <c r="A132" t="str">
        <f>'Student Enrollment Data'!A134</f>
        <v>468</v>
      </c>
      <c r="B132">
        <f>'Student Enrollment Data'!B134</f>
        <v>468</v>
      </c>
      <c r="C132" t="str">
        <f>'Student Enrollment Data'!C134</f>
        <v>Idaho Science and Technology Charter School #468</v>
      </c>
      <c r="D132">
        <v>1</v>
      </c>
      <c r="E132" s="34">
        <f>IF(settings!$G$4=0,'Student Enrollment Data'!BA134,'Student Enrollment Data'!CN134)</f>
        <v>176</v>
      </c>
      <c r="F132" s="34">
        <f>IF(settings!$G$4=0,'Student Enrollment Data'!BB134,'Student Enrollment Data'!CO134)</f>
        <v>97</v>
      </c>
      <c r="G132" s="34">
        <f t="shared" si="30"/>
        <v>1</v>
      </c>
      <c r="H132" s="34">
        <f t="shared" si="31"/>
        <v>1</v>
      </c>
      <c r="I132" s="34">
        <f t="shared" si="32"/>
        <v>1</v>
      </c>
      <c r="J132" s="36">
        <f t="shared" si="33"/>
        <v>1.49</v>
      </c>
      <c r="K132" s="36">
        <f t="shared" si="34"/>
        <v>1.9329310344827586</v>
      </c>
      <c r="L132" s="36">
        <f t="shared" si="35"/>
        <v>1.2450000000000001</v>
      </c>
      <c r="M132" s="36">
        <f t="shared" si="36"/>
        <v>1.8743965517241379</v>
      </c>
      <c r="N132" s="36">
        <f t="shared" si="37"/>
        <v>262.24</v>
      </c>
      <c r="O132" s="36">
        <f t="shared" si="38"/>
        <v>187.4943103448276</v>
      </c>
      <c r="P132" s="36">
        <f t="shared" si="39"/>
        <v>449.73431034482758</v>
      </c>
      <c r="Q132" s="36">
        <f t="shared" si="40"/>
        <v>219.12</v>
      </c>
      <c r="R132" s="36">
        <f t="shared" si="41"/>
        <v>181.81646551724137</v>
      </c>
      <c r="S132" s="37">
        <f t="shared" si="42"/>
        <v>400.93646551724134</v>
      </c>
      <c r="T132">
        <f t="shared" si="43"/>
        <v>273</v>
      </c>
      <c r="U132">
        <f t="shared" si="44"/>
        <v>273</v>
      </c>
      <c r="V132">
        <f>IF(AND(settings!$D$4=0,settings!$D$7=0),'Small Dist Weight'!P132,IF(AND(settings!$D$4=0,settings!$D$7=1),T132,IF(AND(settings!$D$4=1,settings!$D$7=0),S132,U132)))</f>
        <v>400.93646551724134</v>
      </c>
    </row>
    <row r="133" spans="1:22">
      <c r="A133" t="str">
        <f>'Student Enrollment Data'!A135</f>
        <v>469</v>
      </c>
      <c r="B133">
        <f>'Student Enrollment Data'!B135</f>
        <v>469</v>
      </c>
      <c r="C133" t="str">
        <f>'Student Enrollment Data'!C135</f>
        <v>Idaho Connects Online (ICON) #469</v>
      </c>
      <c r="D133">
        <v>1</v>
      </c>
      <c r="E133" s="34">
        <f>IF(settings!$G$4=0,'Student Enrollment Data'!BA135,'Student Enrollment Data'!CN135)</f>
        <v>6</v>
      </c>
      <c r="F133" s="34">
        <f>IF(settings!$G$4=0,'Student Enrollment Data'!BB135,'Student Enrollment Data'!CO135)</f>
        <v>228.88725490196077</v>
      </c>
      <c r="G133" s="34">
        <f t="shared" si="30"/>
        <v>1</v>
      </c>
      <c r="H133" s="34">
        <f t="shared" si="31"/>
        <v>1</v>
      </c>
      <c r="I133" s="34">
        <f t="shared" si="32"/>
        <v>1</v>
      </c>
      <c r="J133" s="36">
        <f t="shared" si="33"/>
        <v>2.0499999999999998</v>
      </c>
      <c r="K133" s="36">
        <f t="shared" si="34"/>
        <v>1.7737567613252199</v>
      </c>
      <c r="L133" s="36">
        <f t="shared" si="35"/>
        <v>2.0499999999999998</v>
      </c>
      <c r="M133" s="36">
        <f t="shared" si="36"/>
        <v>1.6356351419878297</v>
      </c>
      <c r="N133" s="36">
        <f t="shared" si="37"/>
        <v>12.299999999999999</v>
      </c>
      <c r="O133" s="36">
        <f t="shared" si="38"/>
        <v>405.99031596352199</v>
      </c>
      <c r="P133" s="36">
        <f t="shared" si="39"/>
        <v>418.290315963522</v>
      </c>
      <c r="Q133" s="36">
        <f t="shared" si="40"/>
        <v>12.299999999999999</v>
      </c>
      <c r="R133" s="36">
        <f t="shared" si="41"/>
        <v>374.37603767077314</v>
      </c>
      <c r="S133" s="37">
        <f t="shared" si="42"/>
        <v>386.67603767077316</v>
      </c>
      <c r="T133">
        <f t="shared" si="43"/>
        <v>234.88725490196077</v>
      </c>
      <c r="U133">
        <f t="shared" si="44"/>
        <v>234.88725490196077</v>
      </c>
      <c r="V133">
        <f>IF(AND(settings!$D$4=0,settings!$D$7=0),'Small Dist Weight'!P133,IF(AND(settings!$D$4=0,settings!$D$7=1),T133,IF(AND(settings!$D$4=1,settings!$D$7=0),S133,U133)))</f>
        <v>386.67603767077316</v>
      </c>
    </row>
    <row r="134" spans="1:22">
      <c r="A134" t="str">
        <f>'Student Enrollment Data'!A136</f>
        <v>470</v>
      </c>
      <c r="B134">
        <f>'Student Enrollment Data'!B136</f>
        <v>470</v>
      </c>
      <c r="C134" t="str">
        <f>'Student Enrollment Data'!C136</f>
        <v>Kootenai Bridge Academy #470</v>
      </c>
      <c r="D134">
        <v>1</v>
      </c>
      <c r="E134" s="34">
        <f>IF(settings!$G$4=0,'Student Enrollment Data'!BA136,'Student Enrollment Data'!CN136)</f>
        <v>0</v>
      </c>
      <c r="F134" s="34">
        <f>IF(settings!$G$4=0,'Student Enrollment Data'!BB136,'Student Enrollment Data'!CO136)</f>
        <v>312.89411764705881</v>
      </c>
      <c r="G134" s="34">
        <f t="shared" si="30"/>
        <v>1</v>
      </c>
      <c r="H134" s="34">
        <f t="shared" si="31"/>
        <v>1</v>
      </c>
      <c r="I134" s="34">
        <f t="shared" si="32"/>
        <v>1</v>
      </c>
      <c r="J134" s="36">
        <f t="shared" si="33"/>
        <v>2.0499999999999998</v>
      </c>
      <c r="K134" s="36">
        <f t="shared" si="34"/>
        <v>1.6723691683569979</v>
      </c>
      <c r="L134" s="36">
        <f t="shared" si="35"/>
        <v>2.0499999999999998</v>
      </c>
      <c r="M134" s="36">
        <f t="shared" si="36"/>
        <v>1.4835537525354971</v>
      </c>
      <c r="N134" s="36">
        <f t="shared" si="37"/>
        <v>0</v>
      </c>
      <c r="O134" s="36">
        <f t="shared" si="38"/>
        <v>523.27447531320843</v>
      </c>
      <c r="P134" s="36">
        <f t="shared" si="39"/>
        <v>523.27447531320843</v>
      </c>
      <c r="Q134" s="36">
        <f t="shared" si="40"/>
        <v>0</v>
      </c>
      <c r="R134" s="36">
        <f t="shared" si="41"/>
        <v>464.19524238157743</v>
      </c>
      <c r="S134" s="37">
        <f t="shared" si="42"/>
        <v>464.19524238157743</v>
      </c>
      <c r="T134">
        <f t="shared" si="43"/>
        <v>312.89411764705881</v>
      </c>
      <c r="U134">
        <f t="shared" si="44"/>
        <v>312.89411764705881</v>
      </c>
      <c r="V134">
        <f>IF(AND(settings!$D$4=0,settings!$D$7=0),'Small Dist Weight'!P134,IF(AND(settings!$D$4=0,settings!$D$7=1),T134,IF(AND(settings!$D$4=1,settings!$D$7=0),S134,U134)))</f>
        <v>464.19524238157743</v>
      </c>
    </row>
    <row r="135" spans="1:22">
      <c r="A135" t="str">
        <f>'Student Enrollment Data'!A137</f>
        <v>472</v>
      </c>
      <c r="B135">
        <f>'Student Enrollment Data'!B137</f>
        <v>472</v>
      </c>
      <c r="C135" t="str">
        <f>'Student Enrollment Data'!C137</f>
        <v>Palouse Prairie Charter School #472</v>
      </c>
      <c r="D135">
        <v>1</v>
      </c>
      <c r="E135" s="34">
        <f>IF(settings!$G$4=0,'Student Enrollment Data'!BA137,'Student Enrollment Data'!CN137)</f>
        <v>141</v>
      </c>
      <c r="F135" s="34">
        <f>IF(settings!$G$4=0,'Student Enrollment Data'!BB137,'Student Enrollment Data'!CO137)</f>
        <v>30</v>
      </c>
      <c r="G135" s="34">
        <f t="shared" si="30"/>
        <v>1</v>
      </c>
      <c r="H135" s="34">
        <f t="shared" si="31"/>
        <v>1</v>
      </c>
      <c r="I135" s="34">
        <f t="shared" si="32"/>
        <v>1</v>
      </c>
      <c r="J135" s="36">
        <f t="shared" si="33"/>
        <v>1.6013636363636363</v>
      </c>
      <c r="K135" s="36">
        <f t="shared" si="34"/>
        <v>2.0499999999999998</v>
      </c>
      <c r="L135" s="36">
        <f t="shared" si="35"/>
        <v>1.3770454545454545</v>
      </c>
      <c r="M135" s="36">
        <f t="shared" si="36"/>
        <v>1.9956896551724137</v>
      </c>
      <c r="N135" s="36">
        <f t="shared" si="37"/>
        <v>225.79227272727272</v>
      </c>
      <c r="O135" s="36">
        <f t="shared" si="38"/>
        <v>61.499999999999993</v>
      </c>
      <c r="P135" s="36">
        <f t="shared" si="39"/>
        <v>287.29227272727269</v>
      </c>
      <c r="Q135" s="36">
        <f t="shared" si="40"/>
        <v>194.16340909090908</v>
      </c>
      <c r="R135" s="36">
        <f t="shared" si="41"/>
        <v>59.870689655172413</v>
      </c>
      <c r="S135" s="37">
        <f t="shared" si="42"/>
        <v>254.0340987460815</v>
      </c>
      <c r="T135">
        <f t="shared" si="43"/>
        <v>171</v>
      </c>
      <c r="U135">
        <f t="shared" si="44"/>
        <v>171</v>
      </c>
      <c r="V135">
        <f>IF(AND(settings!$D$4=0,settings!$D$7=0),'Small Dist Weight'!P135,IF(AND(settings!$D$4=0,settings!$D$7=1),T135,IF(AND(settings!$D$4=1,settings!$D$7=0),S135,U135)))</f>
        <v>254.0340987460815</v>
      </c>
    </row>
    <row r="136" spans="1:22">
      <c r="A136" t="str">
        <f>'Student Enrollment Data'!A138</f>
        <v>473</v>
      </c>
      <c r="B136">
        <f>'Student Enrollment Data'!B138</f>
        <v>473</v>
      </c>
      <c r="C136" t="str">
        <f>'Student Enrollment Data'!C138</f>
        <v>The Village Charter School #473</v>
      </c>
      <c r="D136">
        <v>1</v>
      </c>
      <c r="E136" s="34">
        <f>IF(settings!$G$4=0,'Student Enrollment Data'!BA138,'Student Enrollment Data'!CN138)</f>
        <v>356.5</v>
      </c>
      <c r="F136" s="34">
        <f>IF(settings!$G$4=0,'Student Enrollment Data'!BB138,'Student Enrollment Data'!CO138)</f>
        <v>104</v>
      </c>
      <c r="G136" s="34">
        <f t="shared" si="30"/>
        <v>0</v>
      </c>
      <c r="H136" s="34">
        <f t="shared" si="31"/>
        <v>1</v>
      </c>
      <c r="I136" s="34">
        <f t="shared" si="32"/>
        <v>0</v>
      </c>
      <c r="J136" s="36" t="str">
        <f t="shared" si="33"/>
        <v/>
      </c>
      <c r="K136" s="36">
        <f t="shared" si="34"/>
        <v>1.9244827586206896</v>
      </c>
      <c r="L136" s="36">
        <f t="shared" si="35"/>
        <v>0</v>
      </c>
      <c r="M136" s="36">
        <f t="shared" si="36"/>
        <v>1.8617241379310345</v>
      </c>
      <c r="N136" s="36">
        <f t="shared" si="37"/>
        <v>356.5</v>
      </c>
      <c r="O136" s="36">
        <f t="shared" si="38"/>
        <v>200.14620689655172</v>
      </c>
      <c r="P136" s="36">
        <f t="shared" si="39"/>
        <v>556.64620689655169</v>
      </c>
      <c r="Q136" s="36">
        <f t="shared" si="40"/>
        <v>356.5</v>
      </c>
      <c r="R136" s="36">
        <f t="shared" si="41"/>
        <v>193.6193103448276</v>
      </c>
      <c r="S136" s="37">
        <f t="shared" si="42"/>
        <v>550.11931034482757</v>
      </c>
      <c r="T136">
        <f t="shared" si="43"/>
        <v>460.5</v>
      </c>
      <c r="U136">
        <f t="shared" si="44"/>
        <v>460.5</v>
      </c>
      <c r="V136">
        <f>IF(AND(settings!$D$4=0,settings!$D$7=0),'Small Dist Weight'!P136,IF(AND(settings!$D$4=0,settings!$D$7=1),T136,IF(AND(settings!$D$4=1,settings!$D$7=0),S136,U136)))</f>
        <v>550.11931034482757</v>
      </c>
    </row>
    <row r="137" spans="1:22">
      <c r="A137" t="str">
        <f>'Student Enrollment Data'!A139</f>
        <v>474</v>
      </c>
      <c r="B137">
        <f>'Student Enrollment Data'!B139</f>
        <v>474</v>
      </c>
      <c r="C137" t="str">
        <f>'Student Enrollment Data'!C139</f>
        <v>Monticello Montessori Charter School #474</v>
      </c>
      <c r="D137">
        <v>1</v>
      </c>
      <c r="E137" s="34">
        <f>IF(settings!$G$4=0,'Student Enrollment Data'!BA139,'Student Enrollment Data'!CN139)</f>
        <v>195.5</v>
      </c>
      <c r="F137" s="34">
        <f>IF(settings!$G$4=0,'Student Enrollment Data'!BB139,'Student Enrollment Data'!CO139)</f>
        <v>18</v>
      </c>
      <c r="G137" s="34">
        <f t="shared" si="30"/>
        <v>1</v>
      </c>
      <c r="H137" s="34">
        <f t="shared" si="31"/>
        <v>1</v>
      </c>
      <c r="I137" s="34">
        <f t="shared" si="32"/>
        <v>1</v>
      </c>
      <c r="J137" s="36">
        <f t="shared" si="33"/>
        <v>1.4279545454545455</v>
      </c>
      <c r="K137" s="36">
        <f t="shared" si="34"/>
        <v>2.0499999999999998</v>
      </c>
      <c r="L137" s="36">
        <f t="shared" si="35"/>
        <v>1.2139772727272728</v>
      </c>
      <c r="M137" s="36">
        <f t="shared" si="36"/>
        <v>2.0499999999999998</v>
      </c>
      <c r="N137" s="36">
        <f t="shared" si="37"/>
        <v>279.16511363636363</v>
      </c>
      <c r="O137" s="36">
        <f t="shared" si="38"/>
        <v>36.9</v>
      </c>
      <c r="P137" s="36">
        <f t="shared" si="39"/>
        <v>316.06511363636361</v>
      </c>
      <c r="Q137" s="36">
        <f t="shared" si="40"/>
        <v>237.33255681818184</v>
      </c>
      <c r="R137" s="36">
        <f t="shared" si="41"/>
        <v>36.9</v>
      </c>
      <c r="S137" s="37">
        <f t="shared" si="42"/>
        <v>274.23255681818182</v>
      </c>
      <c r="T137">
        <f t="shared" si="43"/>
        <v>213.5</v>
      </c>
      <c r="U137">
        <f t="shared" si="44"/>
        <v>213.5</v>
      </c>
      <c r="V137">
        <f>IF(AND(settings!$D$4=0,settings!$D$7=0),'Small Dist Weight'!P137,IF(AND(settings!$D$4=0,settings!$D$7=1),T137,IF(AND(settings!$D$4=1,settings!$D$7=0),S137,U137)))</f>
        <v>274.23255681818182</v>
      </c>
    </row>
    <row r="138" spans="1:22">
      <c r="A138" t="str">
        <f>'Student Enrollment Data'!A140</f>
        <v>475</v>
      </c>
      <c r="B138">
        <f>'Student Enrollment Data'!B140</f>
        <v>475</v>
      </c>
      <c r="C138" t="str">
        <f>'Student Enrollment Data'!C140</f>
        <v>Sage International School of Boise #475</v>
      </c>
      <c r="D138">
        <v>1</v>
      </c>
      <c r="E138" s="34">
        <f>IF(settings!$G$4=0,'Student Enrollment Data'!BA140,'Student Enrollment Data'!CN140)</f>
        <v>523.5</v>
      </c>
      <c r="F138" s="34">
        <f>IF(settings!$G$4=0,'Student Enrollment Data'!BB140,'Student Enrollment Data'!CO140)</f>
        <v>433</v>
      </c>
      <c r="G138" s="34">
        <f t="shared" si="30"/>
        <v>0</v>
      </c>
      <c r="H138" s="34">
        <f t="shared" si="31"/>
        <v>1</v>
      </c>
      <c r="I138" s="34">
        <f t="shared" si="32"/>
        <v>0</v>
      </c>
      <c r="J138" s="36" t="str">
        <f t="shared" si="33"/>
        <v/>
      </c>
      <c r="K138" s="36">
        <f t="shared" si="34"/>
        <v>1.5274137931034484</v>
      </c>
      <c r="L138" s="36">
        <f t="shared" si="35"/>
        <v>0</v>
      </c>
      <c r="M138" s="36">
        <f t="shared" si="36"/>
        <v>1.2661206896551724</v>
      </c>
      <c r="N138" s="36">
        <f t="shared" si="37"/>
        <v>523.5</v>
      </c>
      <c r="O138" s="36">
        <f t="shared" si="38"/>
        <v>661.37017241379317</v>
      </c>
      <c r="P138" s="36">
        <f t="shared" si="39"/>
        <v>1184.8701724137932</v>
      </c>
      <c r="Q138" s="36">
        <f t="shared" si="40"/>
        <v>523.5</v>
      </c>
      <c r="R138" s="36">
        <f t="shared" si="41"/>
        <v>548.23025862068971</v>
      </c>
      <c r="S138" s="37">
        <f t="shared" si="42"/>
        <v>1071.7302586206897</v>
      </c>
      <c r="T138">
        <f t="shared" si="43"/>
        <v>956.5</v>
      </c>
      <c r="U138">
        <f t="shared" si="44"/>
        <v>956.5</v>
      </c>
      <c r="V138">
        <f>IF(AND(settings!$D$4=0,settings!$D$7=0),'Small Dist Weight'!P138,IF(AND(settings!$D$4=0,settings!$D$7=1),T138,IF(AND(settings!$D$4=1,settings!$D$7=0),S138,U138)))</f>
        <v>1071.7302586206897</v>
      </c>
    </row>
    <row r="139" spans="1:22">
      <c r="A139" t="str">
        <f>'Student Enrollment Data'!A141</f>
        <v>476</v>
      </c>
      <c r="B139">
        <f>'Student Enrollment Data'!B141</f>
        <v>476</v>
      </c>
      <c r="C139" t="str">
        <f>'Student Enrollment Data'!C141</f>
        <v>Another Choice Virtual Charter School #476</v>
      </c>
      <c r="D139">
        <v>1</v>
      </c>
      <c r="E139" s="34">
        <f>IF(settings!$G$4=0,'Student Enrollment Data'!BA141,'Student Enrollment Data'!CN141)</f>
        <v>120</v>
      </c>
      <c r="F139" s="34">
        <f>IF(settings!$G$4=0,'Student Enrollment Data'!BB141,'Student Enrollment Data'!CO141)</f>
        <v>415.61176470588236</v>
      </c>
      <c r="G139" s="34">
        <f t="shared" si="30"/>
        <v>1</v>
      </c>
      <c r="H139" s="34">
        <f t="shared" si="31"/>
        <v>1</v>
      </c>
      <c r="I139" s="34">
        <f t="shared" si="32"/>
        <v>1</v>
      </c>
      <c r="J139" s="36">
        <f t="shared" si="33"/>
        <v>1.6681818181818182</v>
      </c>
      <c r="K139" s="36">
        <f t="shared" si="34"/>
        <v>1.5483995943204869</v>
      </c>
      <c r="L139" s="36">
        <f t="shared" si="35"/>
        <v>1.4772727272727273</v>
      </c>
      <c r="M139" s="36">
        <f t="shared" si="36"/>
        <v>1.2975993914807302</v>
      </c>
      <c r="N139" s="36">
        <f t="shared" si="37"/>
        <v>200.18181818181819</v>
      </c>
      <c r="O139" s="36">
        <f t="shared" si="38"/>
        <v>643.53308786540993</v>
      </c>
      <c r="P139" s="36">
        <f t="shared" si="39"/>
        <v>843.71490604722817</v>
      </c>
      <c r="Q139" s="36">
        <f t="shared" si="40"/>
        <v>177.27272727272728</v>
      </c>
      <c r="R139" s="36">
        <f t="shared" si="41"/>
        <v>539.29757297458536</v>
      </c>
      <c r="S139" s="37">
        <f t="shared" si="42"/>
        <v>716.57030024731262</v>
      </c>
      <c r="T139">
        <f t="shared" si="43"/>
        <v>535.61176470588236</v>
      </c>
      <c r="U139">
        <f t="shared" si="44"/>
        <v>535.61176470588236</v>
      </c>
      <c r="V139">
        <f>IF(AND(settings!$D$4=0,settings!$D$7=0),'Small Dist Weight'!P139,IF(AND(settings!$D$4=0,settings!$D$7=1),T139,IF(AND(settings!$D$4=1,settings!$D$7=0),S139,U139)))</f>
        <v>716.57030024731262</v>
      </c>
    </row>
    <row r="140" spans="1:22">
      <c r="A140" t="str">
        <f>'Student Enrollment Data'!A142</f>
        <v>477</v>
      </c>
      <c r="B140">
        <f>'Student Enrollment Data'!B142</f>
        <v>477</v>
      </c>
      <c r="C140" t="str">
        <f>'Student Enrollment Data'!C142</f>
        <v>Blackfoot Charter Community Learning Center #477</v>
      </c>
      <c r="D140">
        <v>1</v>
      </c>
      <c r="E140" s="34">
        <f>IF(settings!$G$4=0,'Student Enrollment Data'!BA142,'Student Enrollment Data'!CN142)</f>
        <v>491</v>
      </c>
      <c r="F140" s="34">
        <f>IF(settings!$G$4=0,'Student Enrollment Data'!BB142,'Student Enrollment Data'!CO142)</f>
        <v>100</v>
      </c>
      <c r="G140" s="34">
        <f t="shared" si="30"/>
        <v>0</v>
      </c>
      <c r="H140" s="34">
        <f t="shared" si="31"/>
        <v>1</v>
      </c>
      <c r="I140" s="34">
        <f t="shared" si="32"/>
        <v>0</v>
      </c>
      <c r="J140" s="36" t="str">
        <f t="shared" si="33"/>
        <v/>
      </c>
      <c r="K140" s="36">
        <f t="shared" si="34"/>
        <v>1.9293103448275861</v>
      </c>
      <c r="L140" s="36">
        <f t="shared" si="35"/>
        <v>0</v>
      </c>
      <c r="M140" s="36">
        <f t="shared" si="36"/>
        <v>1.8689655172413793</v>
      </c>
      <c r="N140" s="36">
        <f t="shared" si="37"/>
        <v>491</v>
      </c>
      <c r="O140" s="36">
        <f t="shared" si="38"/>
        <v>192.93103448275861</v>
      </c>
      <c r="P140" s="36">
        <f t="shared" si="39"/>
        <v>683.93103448275861</v>
      </c>
      <c r="Q140" s="36">
        <f t="shared" si="40"/>
        <v>491</v>
      </c>
      <c r="R140" s="36">
        <f t="shared" si="41"/>
        <v>186.89655172413794</v>
      </c>
      <c r="S140" s="37">
        <f t="shared" si="42"/>
        <v>677.89655172413791</v>
      </c>
      <c r="T140">
        <f t="shared" si="43"/>
        <v>591</v>
      </c>
      <c r="U140">
        <f t="shared" si="44"/>
        <v>591</v>
      </c>
      <c r="V140">
        <f>IF(AND(settings!$D$4=0,settings!$D$7=0),'Small Dist Weight'!P140,IF(AND(settings!$D$4=0,settings!$D$7=1),T140,IF(AND(settings!$D$4=1,settings!$D$7=0),S140,U140)))</f>
        <v>677.89655172413791</v>
      </c>
    </row>
    <row r="141" spans="1:22">
      <c r="A141" t="str">
        <f>'Student Enrollment Data'!A143</f>
        <v>478</v>
      </c>
      <c r="B141">
        <f>'Student Enrollment Data'!B143</f>
        <v>478</v>
      </c>
      <c r="C141" t="str">
        <f>'Student Enrollment Data'!C143</f>
        <v>Legacy Charter School #478</v>
      </c>
      <c r="D141">
        <v>1</v>
      </c>
      <c r="E141" s="34">
        <f>IF(settings!$G$4=0,'Student Enrollment Data'!BA143,'Student Enrollment Data'!CN143)</f>
        <v>214</v>
      </c>
      <c r="F141" s="34">
        <f>IF(settings!$G$4=0,'Student Enrollment Data'!BB143,'Student Enrollment Data'!CO143)</f>
        <v>73</v>
      </c>
      <c r="G141" s="34">
        <f t="shared" si="30"/>
        <v>1</v>
      </c>
      <c r="H141" s="34">
        <f t="shared" si="31"/>
        <v>1</v>
      </c>
      <c r="I141" s="34">
        <f t="shared" si="32"/>
        <v>1</v>
      </c>
      <c r="J141" s="36">
        <f t="shared" si="33"/>
        <v>1.3690909090909091</v>
      </c>
      <c r="K141" s="36">
        <f t="shared" si="34"/>
        <v>1.961896551724138</v>
      </c>
      <c r="L141" s="36">
        <f t="shared" si="35"/>
        <v>1.1845454545454546</v>
      </c>
      <c r="M141" s="36">
        <f t="shared" si="36"/>
        <v>1.917844827586207</v>
      </c>
      <c r="N141" s="36">
        <f t="shared" si="37"/>
        <v>292.98545454545456</v>
      </c>
      <c r="O141" s="36">
        <f t="shared" si="38"/>
        <v>143.21844827586207</v>
      </c>
      <c r="P141" s="36">
        <f t="shared" si="39"/>
        <v>436.20390282131666</v>
      </c>
      <c r="Q141" s="36">
        <f t="shared" si="40"/>
        <v>253.49272727272728</v>
      </c>
      <c r="R141" s="36">
        <f t="shared" si="41"/>
        <v>140.00267241379311</v>
      </c>
      <c r="S141" s="37">
        <f t="shared" si="42"/>
        <v>393.49539968652039</v>
      </c>
      <c r="T141">
        <f t="shared" si="43"/>
        <v>287</v>
      </c>
      <c r="U141">
        <f t="shared" si="44"/>
        <v>287</v>
      </c>
      <c r="V141">
        <f>IF(AND(settings!$D$4=0,settings!$D$7=0),'Small Dist Weight'!P141,IF(AND(settings!$D$4=0,settings!$D$7=1),T141,IF(AND(settings!$D$4=1,settings!$D$7=0),S141,U141)))</f>
        <v>393.49539968652039</v>
      </c>
    </row>
    <row r="142" spans="1:22">
      <c r="A142" t="str">
        <f>'Student Enrollment Data'!A144</f>
        <v>479</v>
      </c>
      <c r="B142">
        <f>'Student Enrollment Data'!B144</f>
        <v>479</v>
      </c>
      <c r="C142" t="str">
        <f>'Student Enrollment Data'!C144</f>
        <v>Heritage Academy #479</v>
      </c>
      <c r="D142">
        <v>1</v>
      </c>
      <c r="E142" s="34">
        <f>IF(settings!$G$4=0,'Student Enrollment Data'!BA144,'Student Enrollment Data'!CN144)</f>
        <v>111</v>
      </c>
      <c r="F142" s="34">
        <f>IF(settings!$G$4=0,'Student Enrollment Data'!BB144,'Student Enrollment Data'!CO144)</f>
        <v>50</v>
      </c>
      <c r="G142" s="34">
        <f t="shared" si="30"/>
        <v>1</v>
      </c>
      <c r="H142" s="34">
        <f t="shared" si="31"/>
        <v>1</v>
      </c>
      <c r="I142" s="34">
        <f t="shared" si="32"/>
        <v>1</v>
      </c>
      <c r="J142" s="36">
        <f t="shared" si="33"/>
        <v>1.6968181818181818</v>
      </c>
      <c r="K142" s="36">
        <f t="shared" si="34"/>
        <v>1.9896551724137932</v>
      </c>
      <c r="L142" s="36">
        <f t="shared" si="35"/>
        <v>1.5202272727272728</v>
      </c>
      <c r="M142" s="36">
        <f t="shared" si="36"/>
        <v>1.9594827586206898</v>
      </c>
      <c r="N142" s="36">
        <f t="shared" si="37"/>
        <v>188.34681818181818</v>
      </c>
      <c r="O142" s="36">
        <f t="shared" si="38"/>
        <v>99.482758620689665</v>
      </c>
      <c r="P142" s="36">
        <f t="shared" si="39"/>
        <v>287.82957680250786</v>
      </c>
      <c r="Q142" s="36">
        <f t="shared" si="40"/>
        <v>168.74522727272728</v>
      </c>
      <c r="R142" s="36">
        <f t="shared" si="41"/>
        <v>97.974137931034491</v>
      </c>
      <c r="S142" s="37">
        <f t="shared" si="42"/>
        <v>266.71936520376175</v>
      </c>
      <c r="T142">
        <f t="shared" si="43"/>
        <v>161</v>
      </c>
      <c r="U142">
        <f t="shared" si="44"/>
        <v>161</v>
      </c>
      <c r="V142">
        <f>IF(AND(settings!$D$4=0,settings!$D$7=0),'Small Dist Weight'!P142,IF(AND(settings!$D$4=0,settings!$D$7=1),T142,IF(AND(settings!$D$4=1,settings!$D$7=0),S142,U142)))</f>
        <v>266.71936520376175</v>
      </c>
    </row>
    <row r="143" spans="1:22">
      <c r="A143" t="str">
        <f>'Student Enrollment Data'!A145</f>
        <v>480</v>
      </c>
      <c r="B143">
        <f>'Student Enrollment Data'!B145</f>
        <v>480</v>
      </c>
      <c r="C143" t="str">
        <f>'Student Enrollment Data'!C145</f>
        <v>STEM Charter Academy #480</v>
      </c>
      <c r="D143">
        <v>1</v>
      </c>
      <c r="E143" s="34">
        <f>IF(settings!$G$4=0,'Student Enrollment Data'!BA145,'Student Enrollment Data'!CN145)</f>
        <v>359.5</v>
      </c>
      <c r="F143" s="34">
        <f>IF(settings!$G$4=0,'Student Enrollment Data'!BB145,'Student Enrollment Data'!CO145)</f>
        <v>145</v>
      </c>
      <c r="G143" s="34">
        <f t="shared" si="30"/>
        <v>0</v>
      </c>
      <c r="H143" s="34">
        <f t="shared" si="31"/>
        <v>1</v>
      </c>
      <c r="I143" s="34">
        <f t="shared" si="32"/>
        <v>0</v>
      </c>
      <c r="J143" s="36" t="str">
        <f t="shared" si="33"/>
        <v/>
      </c>
      <c r="K143" s="36">
        <f t="shared" si="34"/>
        <v>1.875</v>
      </c>
      <c r="L143" s="36">
        <f t="shared" si="35"/>
        <v>0</v>
      </c>
      <c r="M143" s="36">
        <f t="shared" si="36"/>
        <v>1.7875000000000001</v>
      </c>
      <c r="N143" s="36">
        <f t="shared" si="37"/>
        <v>359.5</v>
      </c>
      <c r="O143" s="36">
        <f t="shared" si="38"/>
        <v>271.875</v>
      </c>
      <c r="P143" s="36">
        <f t="shared" si="39"/>
        <v>631.375</v>
      </c>
      <c r="Q143" s="36">
        <f t="shared" si="40"/>
        <v>359.5</v>
      </c>
      <c r="R143" s="36">
        <f t="shared" si="41"/>
        <v>259.1875</v>
      </c>
      <c r="S143" s="37">
        <f t="shared" si="42"/>
        <v>618.6875</v>
      </c>
      <c r="T143">
        <f t="shared" si="43"/>
        <v>504.5</v>
      </c>
      <c r="U143">
        <f t="shared" si="44"/>
        <v>504.5</v>
      </c>
      <c r="V143">
        <f>IF(AND(settings!$D$4=0,settings!$D$7=0),'Small Dist Weight'!P143,IF(AND(settings!$D$4=0,settings!$D$7=1),T143,IF(AND(settings!$D$4=1,settings!$D$7=0),S143,U143)))</f>
        <v>618.6875</v>
      </c>
    </row>
    <row r="144" spans="1:22">
      <c r="A144" t="str">
        <f>'Student Enrollment Data'!A146</f>
        <v>481</v>
      </c>
      <c r="B144">
        <f>'Student Enrollment Data'!B146</f>
        <v>481</v>
      </c>
      <c r="C144" t="str">
        <f>'Student Enrollment Data'!C146</f>
        <v>Heritage Community Charter School #481</v>
      </c>
      <c r="D144">
        <v>1</v>
      </c>
      <c r="E144" s="34">
        <f>IF(settings!$G$4=0,'Student Enrollment Data'!BA146,'Student Enrollment Data'!CN146)</f>
        <v>372</v>
      </c>
      <c r="F144" s="34">
        <f>IF(settings!$G$4=0,'Student Enrollment Data'!BB146,'Student Enrollment Data'!CO146)</f>
        <v>91</v>
      </c>
      <c r="G144" s="34">
        <f t="shared" si="30"/>
        <v>0</v>
      </c>
      <c r="H144" s="34">
        <f t="shared" si="31"/>
        <v>1</v>
      </c>
      <c r="I144" s="34">
        <f t="shared" si="32"/>
        <v>0</v>
      </c>
      <c r="J144" s="36" t="str">
        <f t="shared" si="33"/>
        <v/>
      </c>
      <c r="K144" s="36">
        <f t="shared" si="34"/>
        <v>1.9401724137931033</v>
      </c>
      <c r="L144" s="36">
        <f t="shared" si="35"/>
        <v>0</v>
      </c>
      <c r="M144" s="36">
        <f t="shared" si="36"/>
        <v>1.8852586206896551</v>
      </c>
      <c r="N144" s="36">
        <f t="shared" si="37"/>
        <v>372</v>
      </c>
      <c r="O144" s="36">
        <f t="shared" si="38"/>
        <v>176.55568965517242</v>
      </c>
      <c r="P144" s="36">
        <f t="shared" si="39"/>
        <v>548.55568965517239</v>
      </c>
      <c r="Q144" s="36">
        <f t="shared" si="40"/>
        <v>372</v>
      </c>
      <c r="R144" s="36">
        <f t="shared" si="41"/>
        <v>171.5585344827586</v>
      </c>
      <c r="S144" s="37">
        <f t="shared" si="42"/>
        <v>543.55853448275866</v>
      </c>
      <c r="T144">
        <f t="shared" si="43"/>
        <v>463</v>
      </c>
      <c r="U144">
        <f t="shared" si="44"/>
        <v>463</v>
      </c>
      <c r="V144">
        <f>IF(AND(settings!$D$4=0,settings!$D$7=0),'Small Dist Weight'!P144,IF(AND(settings!$D$4=0,settings!$D$7=1),T144,IF(AND(settings!$D$4=1,settings!$D$7=0),S144,U144)))</f>
        <v>543.55853448275866</v>
      </c>
    </row>
    <row r="145" spans="1:22">
      <c r="A145" t="str">
        <f>'Student Enrollment Data'!A147</f>
        <v>482</v>
      </c>
      <c r="B145">
        <f>'Student Enrollment Data'!B147</f>
        <v>482</v>
      </c>
      <c r="C145" t="str">
        <f>'Student Enrollment Data'!C147</f>
        <v>American Heritage Charter School #482</v>
      </c>
      <c r="D145">
        <v>1</v>
      </c>
      <c r="E145" s="34">
        <f>IF(settings!$G$4=0,'Student Enrollment Data'!BA147,'Student Enrollment Data'!CN147)</f>
        <v>225.5</v>
      </c>
      <c r="F145" s="34">
        <f>IF(settings!$G$4=0,'Student Enrollment Data'!BB147,'Student Enrollment Data'!CO147)</f>
        <v>114</v>
      </c>
      <c r="G145" s="34">
        <f t="shared" si="30"/>
        <v>1</v>
      </c>
      <c r="H145" s="34">
        <f t="shared" si="31"/>
        <v>1</v>
      </c>
      <c r="I145" s="34">
        <f t="shared" si="32"/>
        <v>1</v>
      </c>
      <c r="J145" s="36">
        <f t="shared" si="33"/>
        <v>1.3325</v>
      </c>
      <c r="K145" s="36">
        <f t="shared" si="34"/>
        <v>1.9124137931034482</v>
      </c>
      <c r="L145" s="36">
        <f t="shared" si="35"/>
        <v>1.1662500000000002</v>
      </c>
      <c r="M145" s="36">
        <f t="shared" si="36"/>
        <v>1.8436206896551726</v>
      </c>
      <c r="N145" s="36">
        <f t="shared" si="37"/>
        <v>300.47874999999999</v>
      </c>
      <c r="O145" s="36">
        <f t="shared" si="38"/>
        <v>218.0151724137931</v>
      </c>
      <c r="P145" s="36">
        <f t="shared" si="39"/>
        <v>518.49392241379314</v>
      </c>
      <c r="Q145" s="36">
        <f t="shared" si="40"/>
        <v>262.98937500000005</v>
      </c>
      <c r="R145" s="36">
        <f t="shared" si="41"/>
        <v>210.17275862068968</v>
      </c>
      <c r="S145" s="37">
        <f t="shared" si="42"/>
        <v>473.1621336206897</v>
      </c>
      <c r="T145">
        <f t="shared" si="43"/>
        <v>339.5</v>
      </c>
      <c r="U145">
        <f t="shared" si="44"/>
        <v>339.5</v>
      </c>
      <c r="V145">
        <f>IF(AND(settings!$D$4=0,settings!$D$7=0),'Small Dist Weight'!P145,IF(AND(settings!$D$4=0,settings!$D$7=1),T145,IF(AND(settings!$D$4=1,settings!$D$7=0),S145,U145)))</f>
        <v>473.1621336206897</v>
      </c>
    </row>
    <row r="146" spans="1:22">
      <c r="A146" t="str">
        <f>'Student Enrollment Data'!A148</f>
        <v>483</v>
      </c>
      <c r="B146">
        <f>'Student Enrollment Data'!B148</f>
        <v>483</v>
      </c>
      <c r="C146" t="str">
        <f>'Student Enrollment Data'!C148</f>
        <v>Chief Tahgee Elementary Academy #483</v>
      </c>
      <c r="D146">
        <v>1</v>
      </c>
      <c r="E146" s="34">
        <f>IF(settings!$G$4=0,'Student Enrollment Data'!BA148,'Student Enrollment Data'!CN148)</f>
        <v>74.5</v>
      </c>
      <c r="F146" s="34">
        <f>IF(settings!$G$4=0,'Student Enrollment Data'!BB148,'Student Enrollment Data'!CO148)</f>
        <v>3</v>
      </c>
      <c r="G146" s="34">
        <f t="shared" si="30"/>
        <v>1</v>
      </c>
      <c r="H146" s="34">
        <f t="shared" si="31"/>
        <v>1</v>
      </c>
      <c r="I146" s="34">
        <f t="shared" si="32"/>
        <v>1</v>
      </c>
      <c r="J146" s="36">
        <f t="shared" si="33"/>
        <v>1.8129545454545455</v>
      </c>
      <c r="K146" s="36">
        <f t="shared" si="34"/>
        <v>2.0499999999999998</v>
      </c>
      <c r="L146" s="36">
        <f t="shared" si="35"/>
        <v>1.6944318181818181</v>
      </c>
      <c r="M146" s="36">
        <f t="shared" si="36"/>
        <v>2.0499999999999998</v>
      </c>
      <c r="N146" s="36">
        <f t="shared" si="37"/>
        <v>135.06511363636363</v>
      </c>
      <c r="O146" s="36">
        <f t="shared" si="38"/>
        <v>6.1499999999999995</v>
      </c>
      <c r="P146" s="36">
        <f t="shared" si="39"/>
        <v>141.21511363636364</v>
      </c>
      <c r="Q146" s="36">
        <f t="shared" si="40"/>
        <v>126.23517045454545</v>
      </c>
      <c r="R146" s="36">
        <f t="shared" si="41"/>
        <v>6.1499999999999995</v>
      </c>
      <c r="S146" s="37">
        <f t="shared" si="42"/>
        <v>132.38517045454546</v>
      </c>
      <c r="T146">
        <f t="shared" si="43"/>
        <v>77.5</v>
      </c>
      <c r="U146">
        <f t="shared" si="44"/>
        <v>77.5</v>
      </c>
      <c r="V146">
        <f>IF(AND(settings!$D$4=0,settings!$D$7=0),'Small Dist Weight'!P146,IF(AND(settings!$D$4=0,settings!$D$7=1),T146,IF(AND(settings!$D$4=1,settings!$D$7=0),S146,U146)))</f>
        <v>132.38517045454546</v>
      </c>
    </row>
    <row r="147" spans="1:22">
      <c r="A147" t="str">
        <f>'Student Enrollment Data'!A149</f>
        <v>485</v>
      </c>
      <c r="B147">
        <f>'Student Enrollment Data'!B149</f>
        <v>485</v>
      </c>
      <c r="C147" t="str">
        <f>'Student Enrollment Data'!C149</f>
        <v>Bingham Academy #485</v>
      </c>
      <c r="D147">
        <v>1</v>
      </c>
      <c r="E147" s="34">
        <f>IF(settings!$G$4=0,'Student Enrollment Data'!BA149,'Student Enrollment Data'!CN149)</f>
        <v>0</v>
      </c>
      <c r="F147" s="34">
        <f>IF(settings!$G$4=0,'Student Enrollment Data'!BB149,'Student Enrollment Data'!CO149)</f>
        <v>118</v>
      </c>
      <c r="G147" s="34">
        <f t="shared" si="30"/>
        <v>1</v>
      </c>
      <c r="H147" s="34">
        <f t="shared" si="31"/>
        <v>1</v>
      </c>
      <c r="I147" s="34">
        <f t="shared" si="32"/>
        <v>1</v>
      </c>
      <c r="J147" s="36">
        <f t="shared" si="33"/>
        <v>2.0499999999999998</v>
      </c>
      <c r="K147" s="36">
        <f t="shared" si="34"/>
        <v>1.9075862068965517</v>
      </c>
      <c r="L147" s="36">
        <f t="shared" si="35"/>
        <v>2.0499999999999998</v>
      </c>
      <c r="M147" s="36">
        <f t="shared" si="36"/>
        <v>1.8363793103448276</v>
      </c>
      <c r="N147" s="36">
        <f t="shared" si="37"/>
        <v>0</v>
      </c>
      <c r="O147" s="36">
        <f t="shared" si="38"/>
        <v>225.09517241379311</v>
      </c>
      <c r="P147" s="36">
        <f t="shared" si="39"/>
        <v>225.09517241379311</v>
      </c>
      <c r="Q147" s="36">
        <f t="shared" si="40"/>
        <v>0</v>
      </c>
      <c r="R147" s="36">
        <f t="shared" si="41"/>
        <v>216.69275862068966</v>
      </c>
      <c r="S147" s="37">
        <f t="shared" si="42"/>
        <v>216.69275862068966</v>
      </c>
      <c r="T147">
        <f t="shared" si="43"/>
        <v>118</v>
      </c>
      <c r="U147">
        <f t="shared" si="44"/>
        <v>118</v>
      </c>
      <c r="V147">
        <f>IF(AND(settings!$D$4=0,settings!$D$7=0),'Small Dist Weight'!P147,IF(AND(settings!$D$4=0,settings!$D$7=1),T147,IF(AND(settings!$D$4=1,settings!$D$7=0),S147,U147)))</f>
        <v>216.69275862068966</v>
      </c>
    </row>
    <row r="148" spans="1:22">
      <c r="A148" t="str">
        <f>'Student Enrollment Data'!A150</f>
        <v>486</v>
      </c>
      <c r="B148">
        <f>'Student Enrollment Data'!B150</f>
        <v>486</v>
      </c>
      <c r="C148" t="str">
        <f>'Student Enrollment Data'!C150</f>
        <v>Upper Carmen Charter School #486</v>
      </c>
      <c r="D148">
        <v>1</v>
      </c>
      <c r="E148" s="34">
        <f>IF(settings!$G$4=0,'Student Enrollment Data'!BA150,'Student Enrollment Data'!CN150)</f>
        <v>76.5</v>
      </c>
      <c r="F148" s="34">
        <f>IF(settings!$G$4=0,'Student Enrollment Data'!BB150,'Student Enrollment Data'!CO150)</f>
        <v>18</v>
      </c>
      <c r="G148" s="34">
        <f t="shared" si="30"/>
        <v>1</v>
      </c>
      <c r="H148" s="34">
        <f t="shared" si="31"/>
        <v>1</v>
      </c>
      <c r="I148" s="34">
        <f t="shared" si="32"/>
        <v>1</v>
      </c>
      <c r="J148" s="36">
        <f t="shared" si="33"/>
        <v>1.8065909090909091</v>
      </c>
      <c r="K148" s="36">
        <f t="shared" si="34"/>
        <v>2.0499999999999998</v>
      </c>
      <c r="L148" s="36">
        <f t="shared" si="35"/>
        <v>1.6848863636363636</v>
      </c>
      <c r="M148" s="36">
        <f t="shared" si="36"/>
        <v>2.0499999999999998</v>
      </c>
      <c r="N148" s="36">
        <f t="shared" si="37"/>
        <v>138.20420454545456</v>
      </c>
      <c r="O148" s="36">
        <f t="shared" si="38"/>
        <v>36.9</v>
      </c>
      <c r="P148" s="36">
        <f t="shared" si="39"/>
        <v>175.10420454545456</v>
      </c>
      <c r="Q148" s="36">
        <f t="shared" si="40"/>
        <v>128.89380681818182</v>
      </c>
      <c r="R148" s="36">
        <f t="shared" si="41"/>
        <v>36.9</v>
      </c>
      <c r="S148" s="37">
        <f t="shared" si="42"/>
        <v>165.79380681818182</v>
      </c>
      <c r="T148">
        <f t="shared" si="43"/>
        <v>94.5</v>
      </c>
      <c r="U148">
        <f t="shared" si="44"/>
        <v>94.5</v>
      </c>
      <c r="V148">
        <f>IF(AND(settings!$D$4=0,settings!$D$7=0),'Small Dist Weight'!P148,IF(AND(settings!$D$4=0,settings!$D$7=1),T148,IF(AND(settings!$D$4=1,settings!$D$7=0),S148,U148)))</f>
        <v>165.79380681818182</v>
      </c>
    </row>
    <row r="149" spans="1:22">
      <c r="A149" t="str">
        <f>'Student Enrollment Data'!A151</f>
        <v>487</v>
      </c>
      <c r="B149">
        <f>'Student Enrollment Data'!B151</f>
        <v>487</v>
      </c>
      <c r="C149" t="str">
        <f>'Student Enrollment Data'!C151</f>
        <v>Forrest M. Bird Charter School #487</v>
      </c>
      <c r="D149">
        <v>1</v>
      </c>
      <c r="E149" s="34">
        <f>IF(settings!$G$4=0,'Student Enrollment Data'!BA151,'Student Enrollment Data'!CN151)</f>
        <v>37</v>
      </c>
      <c r="F149" s="34">
        <f>IF(settings!$G$4=0,'Student Enrollment Data'!BB151,'Student Enrollment Data'!CO151)</f>
        <v>281</v>
      </c>
      <c r="G149" s="34">
        <f t="shared" si="30"/>
        <v>1</v>
      </c>
      <c r="H149" s="34">
        <f t="shared" si="31"/>
        <v>1</v>
      </c>
      <c r="I149" s="34">
        <f t="shared" si="32"/>
        <v>1</v>
      </c>
      <c r="J149" s="36">
        <f t="shared" si="33"/>
        <v>1.9322727272727274</v>
      </c>
      <c r="K149" s="36">
        <f t="shared" si="34"/>
        <v>1.7108620689655174</v>
      </c>
      <c r="L149" s="36">
        <f t="shared" si="35"/>
        <v>1.873409090909091</v>
      </c>
      <c r="M149" s="36">
        <f t="shared" si="36"/>
        <v>1.5412931034482757</v>
      </c>
      <c r="N149" s="36">
        <f t="shared" si="37"/>
        <v>71.494090909090914</v>
      </c>
      <c r="O149" s="36">
        <f t="shared" si="38"/>
        <v>480.75224137931036</v>
      </c>
      <c r="P149" s="36">
        <f t="shared" si="39"/>
        <v>552.24633228840128</v>
      </c>
      <c r="Q149" s="36">
        <f t="shared" si="40"/>
        <v>69.316136363636375</v>
      </c>
      <c r="R149" s="36">
        <f t="shared" si="41"/>
        <v>433.10336206896551</v>
      </c>
      <c r="S149" s="37">
        <f t="shared" si="42"/>
        <v>502.41949843260187</v>
      </c>
      <c r="T149">
        <f t="shared" si="43"/>
        <v>318</v>
      </c>
      <c r="U149">
        <f t="shared" si="44"/>
        <v>318</v>
      </c>
      <c r="V149">
        <f>IF(AND(settings!$D$4=0,settings!$D$7=0),'Small Dist Weight'!P149,IF(AND(settings!$D$4=0,settings!$D$7=1),T149,IF(AND(settings!$D$4=1,settings!$D$7=0),S149,U149)))</f>
        <v>502.41949843260187</v>
      </c>
    </row>
    <row r="150" spans="1:22">
      <c r="A150" t="str">
        <f>'Student Enrollment Data'!A152</f>
        <v>488</v>
      </c>
      <c r="B150">
        <f>'Student Enrollment Data'!B152</f>
        <v>488</v>
      </c>
      <c r="C150" t="str">
        <f>'Student Enrollment Data'!C152</f>
        <v>Syringa Mountain School #488</v>
      </c>
      <c r="D150">
        <v>1</v>
      </c>
      <c r="E150" s="34">
        <f>IF(settings!$G$4=0,'Student Enrollment Data'!BA152,'Student Enrollment Data'!CN152)</f>
        <v>96.5</v>
      </c>
      <c r="F150" s="34">
        <f>IF(settings!$G$4=0,'Student Enrollment Data'!BB152,'Student Enrollment Data'!CO152)</f>
        <v>7</v>
      </c>
      <c r="G150" s="34">
        <f t="shared" si="30"/>
        <v>1</v>
      </c>
      <c r="H150" s="34">
        <f t="shared" si="31"/>
        <v>1</v>
      </c>
      <c r="I150" s="34">
        <f t="shared" si="32"/>
        <v>1</v>
      </c>
      <c r="J150" s="36">
        <f t="shared" si="33"/>
        <v>1.7429545454545454</v>
      </c>
      <c r="K150" s="36">
        <f t="shared" si="34"/>
        <v>2.0499999999999998</v>
      </c>
      <c r="L150" s="36">
        <f t="shared" si="35"/>
        <v>1.5894318181818181</v>
      </c>
      <c r="M150" s="36">
        <f t="shared" si="36"/>
        <v>2.0499999999999998</v>
      </c>
      <c r="N150" s="36">
        <f t="shared" si="37"/>
        <v>168.19511363636363</v>
      </c>
      <c r="O150" s="36">
        <f t="shared" si="38"/>
        <v>14.349999999999998</v>
      </c>
      <c r="P150" s="36">
        <f t="shared" si="39"/>
        <v>182.54511363636362</v>
      </c>
      <c r="Q150" s="36">
        <f t="shared" si="40"/>
        <v>153.38017045454544</v>
      </c>
      <c r="R150" s="36">
        <f t="shared" si="41"/>
        <v>14.349999999999998</v>
      </c>
      <c r="S150" s="37">
        <f t="shared" si="42"/>
        <v>167.73017045454543</v>
      </c>
      <c r="T150">
        <f t="shared" si="43"/>
        <v>103.5</v>
      </c>
      <c r="U150">
        <f t="shared" si="44"/>
        <v>103.5</v>
      </c>
      <c r="V150">
        <f>IF(AND(settings!$D$4=0,settings!$D$7=0),'Small Dist Weight'!P150,IF(AND(settings!$D$4=0,settings!$D$7=1),T150,IF(AND(settings!$D$4=1,settings!$D$7=0),S150,U150)))</f>
        <v>167.73017045454543</v>
      </c>
    </row>
    <row r="151" spans="1:22">
      <c r="A151" t="str">
        <f>'Student Enrollment Data'!A153</f>
        <v>489</v>
      </c>
      <c r="B151">
        <f>'Student Enrollment Data'!B153</f>
        <v>489</v>
      </c>
      <c r="C151" t="str">
        <f>'Student Enrollment Data'!C153</f>
        <v>Idaho Technical Career Academy #489</v>
      </c>
      <c r="D151">
        <v>1</v>
      </c>
      <c r="E151" s="34">
        <f>IF(settings!$G$4=0,'Student Enrollment Data'!BA153,'Student Enrollment Data'!CN153)</f>
        <v>0</v>
      </c>
      <c r="F151" s="34">
        <f>IF(settings!$G$4=0,'Student Enrollment Data'!BB153,'Student Enrollment Data'!CO153)</f>
        <v>136</v>
      </c>
      <c r="G151" s="34">
        <f t="shared" si="30"/>
        <v>1</v>
      </c>
      <c r="H151" s="34">
        <f t="shared" si="31"/>
        <v>1</v>
      </c>
      <c r="I151" s="34">
        <f t="shared" si="32"/>
        <v>1</v>
      </c>
      <c r="J151" s="36">
        <f t="shared" si="33"/>
        <v>2.0499999999999998</v>
      </c>
      <c r="K151" s="36">
        <f t="shared" si="34"/>
        <v>1.8858620689655172</v>
      </c>
      <c r="L151" s="36">
        <f t="shared" si="35"/>
        <v>2.0499999999999998</v>
      </c>
      <c r="M151" s="36">
        <f t="shared" si="36"/>
        <v>1.8037931034482759</v>
      </c>
      <c r="N151" s="36">
        <f t="shared" si="37"/>
        <v>0</v>
      </c>
      <c r="O151" s="36">
        <f t="shared" si="38"/>
        <v>256.47724137931033</v>
      </c>
      <c r="P151" s="36">
        <f t="shared" si="39"/>
        <v>256.47724137931033</v>
      </c>
      <c r="Q151" s="36">
        <f t="shared" si="40"/>
        <v>0</v>
      </c>
      <c r="R151" s="36">
        <f t="shared" si="41"/>
        <v>245.31586206896552</v>
      </c>
      <c r="S151" s="37">
        <f t="shared" si="42"/>
        <v>245.31586206896552</v>
      </c>
      <c r="T151">
        <f t="shared" si="43"/>
        <v>136</v>
      </c>
      <c r="U151">
        <f t="shared" si="44"/>
        <v>136</v>
      </c>
      <c r="V151">
        <f>IF(AND(settings!$D$4=0,settings!$D$7=0),'Small Dist Weight'!P151,IF(AND(settings!$D$4=0,settings!$D$7=1),T151,IF(AND(settings!$D$4=1,settings!$D$7=0),S151,U151)))</f>
        <v>245.31586206896552</v>
      </c>
    </row>
    <row r="152" spans="1:22">
      <c r="A152" t="str">
        <f>'Student Enrollment Data'!A154</f>
        <v>490</v>
      </c>
      <c r="B152">
        <f>'Student Enrollment Data'!B154</f>
        <v>490</v>
      </c>
      <c r="C152" t="str">
        <f>'Student Enrollment Data'!C154</f>
        <v>Idaho Distance Education Academy #490</v>
      </c>
      <c r="D152">
        <v>1</v>
      </c>
      <c r="E152" s="34">
        <f>IF(settings!$G$4=0,'Student Enrollment Data'!BA154,'Student Enrollment Data'!CN154)</f>
        <v>119</v>
      </c>
      <c r="F152" s="34">
        <f>IF(settings!$G$4=0,'Student Enrollment Data'!BB154,'Student Enrollment Data'!CO154)</f>
        <v>332</v>
      </c>
      <c r="G152" s="34">
        <f t="shared" si="30"/>
        <v>1</v>
      </c>
      <c r="H152" s="34">
        <f t="shared" si="31"/>
        <v>1</v>
      </c>
      <c r="I152" s="34">
        <f t="shared" si="32"/>
        <v>1</v>
      </c>
      <c r="J152" s="36">
        <f t="shared" si="33"/>
        <v>1.6713636363636364</v>
      </c>
      <c r="K152" s="36">
        <f t="shared" si="34"/>
        <v>1.6493103448275863</v>
      </c>
      <c r="L152" s="36">
        <f t="shared" si="35"/>
        <v>1.4820454545454544</v>
      </c>
      <c r="M152" s="36">
        <f t="shared" si="36"/>
        <v>1.4489655172413793</v>
      </c>
      <c r="N152" s="36">
        <f t="shared" si="37"/>
        <v>198.89227272727274</v>
      </c>
      <c r="O152" s="36">
        <f t="shared" si="38"/>
        <v>547.57103448275871</v>
      </c>
      <c r="P152" s="36">
        <f t="shared" si="39"/>
        <v>746.46330721003142</v>
      </c>
      <c r="Q152" s="36">
        <f t="shared" si="40"/>
        <v>176.36340909090907</v>
      </c>
      <c r="R152" s="36">
        <f t="shared" si="41"/>
        <v>481.05655172413793</v>
      </c>
      <c r="S152" s="37">
        <f t="shared" si="42"/>
        <v>657.41996081504703</v>
      </c>
      <c r="T152">
        <f t="shared" si="43"/>
        <v>451</v>
      </c>
      <c r="U152">
        <f t="shared" si="44"/>
        <v>451</v>
      </c>
      <c r="V152">
        <f>IF(AND(settings!$D$4=0,settings!$D$7=0),'Small Dist Weight'!P152,IF(AND(settings!$D$4=0,settings!$D$7=1),T152,IF(AND(settings!$D$4=1,settings!$D$7=0),S152,U152)))</f>
        <v>657.41996081504703</v>
      </c>
    </row>
    <row r="153" spans="1:22">
      <c r="A153" t="str">
        <f>'Student Enrollment Data'!A155</f>
        <v>491</v>
      </c>
      <c r="B153">
        <f>'Student Enrollment Data'!B155</f>
        <v>491</v>
      </c>
      <c r="C153" t="str">
        <f>'Student Enrollment Data'!C155</f>
        <v>Coeur d' Alene Charter Academy #491</v>
      </c>
      <c r="D153">
        <v>1</v>
      </c>
      <c r="E153" s="34">
        <f>IF(settings!$G$4=0,'Student Enrollment Data'!BA155,'Student Enrollment Data'!CN155)</f>
        <v>141</v>
      </c>
      <c r="F153" s="34">
        <f>IF(settings!$G$4=0,'Student Enrollment Data'!BB155,'Student Enrollment Data'!CO155)</f>
        <v>546</v>
      </c>
      <c r="G153" s="34">
        <f t="shared" si="30"/>
        <v>1</v>
      </c>
      <c r="H153" s="34">
        <f t="shared" si="31"/>
        <v>1</v>
      </c>
      <c r="I153" s="34">
        <f t="shared" si="32"/>
        <v>1</v>
      </c>
      <c r="J153" s="36">
        <f t="shared" si="33"/>
        <v>1.6013636363636363</v>
      </c>
      <c r="K153" s="36">
        <f t="shared" si="34"/>
        <v>1.3910344827586207</v>
      </c>
      <c r="L153" s="36">
        <f t="shared" si="35"/>
        <v>1.3770454545454545</v>
      </c>
      <c r="M153" s="36">
        <f t="shared" si="36"/>
        <v>1.1955172413793105</v>
      </c>
      <c r="N153" s="36">
        <f t="shared" si="37"/>
        <v>225.79227272727272</v>
      </c>
      <c r="O153" s="36">
        <f t="shared" si="38"/>
        <v>759.50482758620694</v>
      </c>
      <c r="P153" s="36">
        <f t="shared" si="39"/>
        <v>985.29710031347963</v>
      </c>
      <c r="Q153" s="36">
        <f t="shared" si="40"/>
        <v>194.16340909090908</v>
      </c>
      <c r="R153" s="36">
        <f t="shared" si="41"/>
        <v>652.75241379310353</v>
      </c>
      <c r="S153" s="37">
        <f t="shared" si="42"/>
        <v>846.91582288401264</v>
      </c>
      <c r="T153">
        <f t="shared" si="43"/>
        <v>687</v>
      </c>
      <c r="U153">
        <f t="shared" si="44"/>
        <v>687</v>
      </c>
      <c r="V153">
        <f>IF(AND(settings!$D$4=0,settings!$D$7=0),'Small Dist Weight'!P153,IF(AND(settings!$D$4=0,settings!$D$7=1),T153,IF(AND(settings!$D$4=1,settings!$D$7=0),S153,U153)))</f>
        <v>846.91582288401264</v>
      </c>
    </row>
    <row r="154" spans="1:22">
      <c r="A154" t="str">
        <f>'Student Enrollment Data'!A156</f>
        <v>492</v>
      </c>
      <c r="B154">
        <f>'Student Enrollment Data'!B156</f>
        <v>492</v>
      </c>
      <c r="C154" t="str">
        <f>'Student Enrollment Data'!C156</f>
        <v>ANSER Charter School #492</v>
      </c>
      <c r="D154">
        <v>1</v>
      </c>
      <c r="E154" s="34">
        <f>IF(settings!$G$4=0,'Student Enrollment Data'!BA156,'Student Enrollment Data'!CN156)</f>
        <v>252</v>
      </c>
      <c r="F154" s="34">
        <f>IF(settings!$G$4=0,'Student Enrollment Data'!BB156,'Student Enrollment Data'!CO156)</f>
        <v>102</v>
      </c>
      <c r="G154" s="34">
        <f t="shared" si="30"/>
        <v>1</v>
      </c>
      <c r="H154" s="34">
        <f t="shared" si="31"/>
        <v>1</v>
      </c>
      <c r="I154" s="34">
        <f t="shared" si="32"/>
        <v>1</v>
      </c>
      <c r="J154" s="36">
        <f t="shared" si="33"/>
        <v>1.2481818181818181</v>
      </c>
      <c r="K154" s="36">
        <f t="shared" si="34"/>
        <v>1.9268965517241381</v>
      </c>
      <c r="L154" s="36">
        <f t="shared" si="35"/>
        <v>1.1240909090909093</v>
      </c>
      <c r="M154" s="36">
        <f t="shared" si="36"/>
        <v>1.865344827586207</v>
      </c>
      <c r="N154" s="36">
        <f t="shared" si="37"/>
        <v>314.54181818181814</v>
      </c>
      <c r="O154" s="36">
        <f t="shared" si="38"/>
        <v>196.54344827586209</v>
      </c>
      <c r="P154" s="36">
        <f t="shared" si="39"/>
        <v>511.08526645768023</v>
      </c>
      <c r="Q154" s="36">
        <f t="shared" si="40"/>
        <v>283.27090909090913</v>
      </c>
      <c r="R154" s="36">
        <f t="shared" si="41"/>
        <v>190.26517241379312</v>
      </c>
      <c r="S154" s="37">
        <f t="shared" si="42"/>
        <v>473.53608150470222</v>
      </c>
      <c r="T154">
        <f t="shared" si="43"/>
        <v>354</v>
      </c>
      <c r="U154">
        <f t="shared" si="44"/>
        <v>354</v>
      </c>
      <c r="V154">
        <f>IF(AND(settings!$D$4=0,settings!$D$7=0),'Small Dist Weight'!P154,IF(AND(settings!$D$4=0,settings!$D$7=1),T154,IF(AND(settings!$D$4=1,settings!$D$7=0),S154,U154)))</f>
        <v>473.53608150470222</v>
      </c>
    </row>
    <row r="155" spans="1:22">
      <c r="A155" t="str">
        <f>'Student Enrollment Data'!A157</f>
        <v>493</v>
      </c>
      <c r="B155">
        <f>'Student Enrollment Data'!B157</f>
        <v>493</v>
      </c>
      <c r="C155" t="str">
        <f>'Student Enrollment Data'!C157</f>
        <v>North Star Charter School #493</v>
      </c>
      <c r="D155">
        <v>1</v>
      </c>
      <c r="E155" s="34">
        <f>IF(settings!$G$4=0,'Student Enrollment Data'!BA157,'Student Enrollment Data'!CN157)</f>
        <v>591</v>
      </c>
      <c r="F155" s="34">
        <f>IF(settings!$G$4=0,'Student Enrollment Data'!BB157,'Student Enrollment Data'!CO157)</f>
        <v>342</v>
      </c>
      <c r="G155" s="34">
        <f t="shared" si="30"/>
        <v>0</v>
      </c>
      <c r="H155" s="34">
        <f t="shared" si="31"/>
        <v>1</v>
      </c>
      <c r="I155" s="34">
        <f t="shared" si="32"/>
        <v>0</v>
      </c>
      <c r="J155" s="36" t="str">
        <f t="shared" si="33"/>
        <v/>
      </c>
      <c r="K155" s="36">
        <f t="shared" si="34"/>
        <v>1.6372413793103449</v>
      </c>
      <c r="L155" s="36">
        <f t="shared" si="35"/>
        <v>0</v>
      </c>
      <c r="M155" s="36">
        <f t="shared" si="36"/>
        <v>1.4308620689655172</v>
      </c>
      <c r="N155" s="36">
        <f t="shared" si="37"/>
        <v>591</v>
      </c>
      <c r="O155" s="36">
        <f t="shared" si="38"/>
        <v>559.93655172413798</v>
      </c>
      <c r="P155" s="36">
        <f t="shared" si="39"/>
        <v>1150.9365517241381</v>
      </c>
      <c r="Q155" s="36">
        <f t="shared" si="40"/>
        <v>591</v>
      </c>
      <c r="R155" s="36">
        <f t="shared" si="41"/>
        <v>489.35482758620685</v>
      </c>
      <c r="S155" s="37">
        <f t="shared" si="42"/>
        <v>1080.3548275862067</v>
      </c>
      <c r="T155">
        <f t="shared" si="43"/>
        <v>933</v>
      </c>
      <c r="U155">
        <f t="shared" si="44"/>
        <v>933</v>
      </c>
      <c r="V155">
        <f>IF(AND(settings!$D$4=0,settings!$D$7=0),'Small Dist Weight'!P155,IF(AND(settings!$D$4=0,settings!$D$7=1),T155,IF(AND(settings!$D$4=1,settings!$D$7=0),S155,U155)))</f>
        <v>1080.3548275862067</v>
      </c>
    </row>
    <row r="156" spans="1:22">
      <c r="A156" t="str">
        <f>'Student Enrollment Data'!A158</f>
        <v>494</v>
      </c>
      <c r="B156">
        <f>'Student Enrollment Data'!B158</f>
        <v>494</v>
      </c>
      <c r="C156" t="str">
        <f>'Student Enrollment Data'!C158</f>
        <v>Pocatello Community Charter School #494</v>
      </c>
      <c r="D156">
        <v>1</v>
      </c>
      <c r="E156" s="34">
        <f>IF(settings!$G$4=0,'Student Enrollment Data'!BA158,'Student Enrollment Data'!CN158)</f>
        <v>244</v>
      </c>
      <c r="F156" s="34">
        <f>IF(settings!$G$4=0,'Student Enrollment Data'!BB158,'Student Enrollment Data'!CO158)</f>
        <v>83</v>
      </c>
      <c r="G156" s="34">
        <f t="shared" si="30"/>
        <v>1</v>
      </c>
      <c r="H156" s="34">
        <f t="shared" si="31"/>
        <v>1</v>
      </c>
      <c r="I156" s="34">
        <f t="shared" si="32"/>
        <v>1</v>
      </c>
      <c r="J156" s="36">
        <f t="shared" si="33"/>
        <v>1.2736363636363637</v>
      </c>
      <c r="K156" s="36">
        <f t="shared" si="34"/>
        <v>1.9498275862068966</v>
      </c>
      <c r="L156" s="36">
        <f t="shared" si="35"/>
        <v>1.1368181818181819</v>
      </c>
      <c r="M156" s="36">
        <f t="shared" si="36"/>
        <v>1.8997413793103448</v>
      </c>
      <c r="N156" s="36">
        <f t="shared" si="37"/>
        <v>310.76727272727271</v>
      </c>
      <c r="O156" s="36">
        <f t="shared" si="38"/>
        <v>161.83568965517242</v>
      </c>
      <c r="P156" s="36">
        <f t="shared" si="39"/>
        <v>472.60296238244513</v>
      </c>
      <c r="Q156" s="36">
        <f t="shared" si="40"/>
        <v>277.38363636363641</v>
      </c>
      <c r="R156" s="36">
        <f t="shared" si="41"/>
        <v>157.67853448275861</v>
      </c>
      <c r="S156" s="37">
        <f t="shared" si="42"/>
        <v>435.06217084639502</v>
      </c>
      <c r="T156">
        <f t="shared" si="43"/>
        <v>327</v>
      </c>
      <c r="U156">
        <f t="shared" si="44"/>
        <v>327</v>
      </c>
      <c r="V156">
        <f>IF(AND(settings!$D$4=0,settings!$D$7=0),'Small Dist Weight'!P156,IF(AND(settings!$D$4=0,settings!$D$7=1),T156,IF(AND(settings!$D$4=1,settings!$D$7=0),S156,U156)))</f>
        <v>435.06217084639502</v>
      </c>
    </row>
    <row r="157" spans="1:22">
      <c r="A157" t="str">
        <f>'Student Enrollment Data'!A159</f>
        <v>495</v>
      </c>
      <c r="B157">
        <f>'Student Enrollment Data'!B159</f>
        <v>495</v>
      </c>
      <c r="C157" t="str">
        <f>'Student Enrollment Data'!C159</f>
        <v>Alturas International Academy #495</v>
      </c>
      <c r="D157">
        <v>1</v>
      </c>
      <c r="E157" s="34">
        <f>IF(settings!$G$4=0,'Student Enrollment Data'!BA159,'Student Enrollment Data'!CN159)</f>
        <v>334</v>
      </c>
      <c r="F157" s="34">
        <f>IF(settings!$G$4=0,'Student Enrollment Data'!BB159,'Student Enrollment Data'!CO159)</f>
        <v>100</v>
      </c>
      <c r="G157" s="34">
        <f t="shared" si="30"/>
        <v>0</v>
      </c>
      <c r="H157" s="34">
        <f t="shared" si="31"/>
        <v>1</v>
      </c>
      <c r="I157" s="34">
        <f t="shared" si="32"/>
        <v>0</v>
      </c>
      <c r="J157" s="36" t="str">
        <f t="shared" si="33"/>
        <v/>
      </c>
      <c r="K157" s="36">
        <f t="shared" si="34"/>
        <v>1.9293103448275861</v>
      </c>
      <c r="L157" s="36">
        <f t="shared" si="35"/>
        <v>0</v>
      </c>
      <c r="M157" s="36">
        <f t="shared" si="36"/>
        <v>1.8689655172413793</v>
      </c>
      <c r="N157" s="36">
        <f t="shared" si="37"/>
        <v>334</v>
      </c>
      <c r="O157" s="36">
        <f t="shared" si="38"/>
        <v>192.93103448275861</v>
      </c>
      <c r="P157" s="36">
        <f t="shared" si="39"/>
        <v>526.93103448275861</v>
      </c>
      <c r="Q157" s="36">
        <f t="shared" si="40"/>
        <v>334</v>
      </c>
      <c r="R157" s="36">
        <f t="shared" si="41"/>
        <v>186.89655172413794</v>
      </c>
      <c r="S157" s="37">
        <f t="shared" si="42"/>
        <v>520.89655172413791</v>
      </c>
      <c r="T157">
        <f t="shared" si="43"/>
        <v>434</v>
      </c>
      <c r="U157">
        <f t="shared" si="44"/>
        <v>434</v>
      </c>
      <c r="V157">
        <f>IF(AND(settings!$D$4=0,settings!$D$7=0),'Small Dist Weight'!P157,IF(AND(settings!$D$4=0,settings!$D$7=1),T157,IF(AND(settings!$D$4=1,settings!$D$7=0),S157,U157)))</f>
        <v>520.89655172413791</v>
      </c>
    </row>
    <row r="158" spans="1:22">
      <c r="A158" t="str">
        <f>'Student Enrollment Data'!A160</f>
        <v>496</v>
      </c>
      <c r="B158">
        <f>'Student Enrollment Data'!B160</f>
        <v>496</v>
      </c>
      <c r="C158" t="str">
        <f>'Student Enrollment Data'!C160</f>
        <v>Gem Prep: Pocatello #496</v>
      </c>
      <c r="D158">
        <v>1</v>
      </c>
      <c r="E158" s="34">
        <f>IF(settings!$G$4=0,'Student Enrollment Data'!BA160,'Student Enrollment Data'!CN160)</f>
        <v>172</v>
      </c>
      <c r="F158" s="34">
        <f>IF(settings!$G$4=0,'Student Enrollment Data'!BB160,'Student Enrollment Data'!CO160)</f>
        <v>0</v>
      </c>
      <c r="G158" s="34">
        <f t="shared" si="30"/>
        <v>1</v>
      </c>
      <c r="H158" s="34">
        <f t="shared" si="31"/>
        <v>1</v>
      </c>
      <c r="I158" s="34">
        <f t="shared" si="32"/>
        <v>1</v>
      </c>
      <c r="J158" s="36">
        <f t="shared" si="33"/>
        <v>1.5027272727272729</v>
      </c>
      <c r="K158" s="36">
        <f t="shared" si="34"/>
        <v>2.0499999999999998</v>
      </c>
      <c r="L158" s="36">
        <f t="shared" si="35"/>
        <v>1.2513636363636365</v>
      </c>
      <c r="M158" s="36">
        <f t="shared" si="36"/>
        <v>2.0499999999999998</v>
      </c>
      <c r="N158" s="36">
        <f t="shared" si="37"/>
        <v>258.46909090909094</v>
      </c>
      <c r="O158" s="36">
        <f t="shared" si="38"/>
        <v>0</v>
      </c>
      <c r="P158" s="36">
        <f t="shared" si="39"/>
        <v>258.46909090909094</v>
      </c>
      <c r="Q158" s="36">
        <f t="shared" si="40"/>
        <v>215.23454545454547</v>
      </c>
      <c r="R158" s="36">
        <f t="shared" si="41"/>
        <v>0</v>
      </c>
      <c r="S158" s="37">
        <f t="shared" si="42"/>
        <v>215.23454545454547</v>
      </c>
      <c r="T158">
        <f t="shared" si="43"/>
        <v>172</v>
      </c>
      <c r="U158">
        <f t="shared" si="44"/>
        <v>172</v>
      </c>
      <c r="V158">
        <f>IF(AND(settings!$D$4=0,settings!$D$7=0),'Small Dist Weight'!P158,IF(AND(settings!$D$4=0,settings!$D$7=1),T158,IF(AND(settings!$D$4=1,settings!$D$7=0),S158,U158)))</f>
        <v>215.23454545454547</v>
      </c>
    </row>
    <row r="159" spans="1:22">
      <c r="A159" t="str">
        <f>'Student Enrollment Data'!A161</f>
        <v>497</v>
      </c>
      <c r="B159">
        <f>'Student Enrollment Data'!B161</f>
        <v>497</v>
      </c>
      <c r="C159" t="str">
        <f>'Student Enrollment Data'!C161</f>
        <v>Pathways in Education - Nampa #497</v>
      </c>
      <c r="D159">
        <v>1</v>
      </c>
      <c r="E159" s="34">
        <f>IF(settings!$G$4=0,'Student Enrollment Data'!BA161,'Student Enrollment Data'!CN161)</f>
        <v>0</v>
      </c>
      <c r="F159" s="34">
        <f>IF(settings!$G$4=0,'Student Enrollment Data'!BB161,'Student Enrollment Data'!CO161)</f>
        <v>285</v>
      </c>
      <c r="G159" s="34">
        <f t="shared" si="30"/>
        <v>1</v>
      </c>
      <c r="H159" s="34">
        <f t="shared" si="31"/>
        <v>1</v>
      </c>
      <c r="I159" s="34">
        <f t="shared" si="32"/>
        <v>1</v>
      </c>
      <c r="J159" s="36">
        <f t="shared" si="33"/>
        <v>2.0499999999999998</v>
      </c>
      <c r="K159" s="36">
        <f t="shared" si="34"/>
        <v>1.7060344827586207</v>
      </c>
      <c r="L159" s="36">
        <f t="shared" si="35"/>
        <v>2.0499999999999998</v>
      </c>
      <c r="M159" s="36">
        <f t="shared" si="36"/>
        <v>1.534051724137931</v>
      </c>
      <c r="N159" s="36">
        <f t="shared" si="37"/>
        <v>0</v>
      </c>
      <c r="O159" s="36">
        <f t="shared" si="38"/>
        <v>486.21982758620692</v>
      </c>
      <c r="P159" s="36">
        <f t="shared" si="39"/>
        <v>486.21982758620692</v>
      </c>
      <c r="Q159" s="36">
        <f t="shared" si="40"/>
        <v>0</v>
      </c>
      <c r="R159" s="36">
        <f t="shared" si="41"/>
        <v>437.20474137931035</v>
      </c>
      <c r="S159" s="37">
        <f t="shared" si="42"/>
        <v>437.20474137931035</v>
      </c>
      <c r="T159">
        <f t="shared" si="43"/>
        <v>285</v>
      </c>
      <c r="U159">
        <f t="shared" si="44"/>
        <v>285</v>
      </c>
      <c r="V159">
        <f>IF(AND(settings!$D$4=0,settings!$D$7=0),'Small Dist Weight'!P159,IF(AND(settings!$D$4=0,settings!$D$7=1),T159,IF(AND(settings!$D$4=1,settings!$D$7=0),S159,U159)))</f>
        <v>437.20474137931035</v>
      </c>
    </row>
    <row r="160" spans="1:22">
      <c r="A160">
        <v>498</v>
      </c>
      <c r="B160">
        <v>498</v>
      </c>
      <c r="C160" t="s">
        <v>592</v>
      </c>
      <c r="D160">
        <v>1</v>
      </c>
      <c r="E160" s="34">
        <f>IF(settings!$G$4=0,'Student Enrollment Data'!BA162,'Student Enrollment Data'!CN162)</f>
        <v>245</v>
      </c>
      <c r="F160" s="34">
        <f>IF(settings!$G$4=0,'Student Enrollment Data'!BB162,'Student Enrollment Data'!CO162)</f>
        <v>0</v>
      </c>
      <c r="G160" s="34">
        <f t="shared" ref="G160:G164" si="45">IF(E160&lt;$X$5,1,0)</f>
        <v>1</v>
      </c>
      <c r="H160" s="34">
        <f t="shared" ref="H160:H164" si="46">IF(F160&lt;$X$6,1,0)</f>
        <v>1</v>
      </c>
      <c r="I160" s="34">
        <f t="shared" ref="I160:I164" si="47">IF(SUM(G160:H160)=2,1,0)</f>
        <v>1</v>
      </c>
      <c r="J160" s="36">
        <f t="shared" ref="J160:J164" si="48">IF(E160&lt;=$AA$5,1+$Y$5,IF(G160=1,1+($Y$5-(E160*($Y$5/$X$5))),""))</f>
        <v>1.2704545454545455</v>
      </c>
      <c r="K160" s="36">
        <f t="shared" ref="K160:K164" si="49">IF(F160&lt;=$AA$6,1+$Y$6,IF(H160=1,1+($Y$6-(F160*($Y$6/$X$6))),""))</f>
        <v>2.0499999999999998</v>
      </c>
      <c r="L160" s="36">
        <f t="shared" ref="L160:L164" si="50">IF(E160&lt;=$AA$5,1+$Y$10,IF(AND(E160&gt;=$Z$10,E160&lt;$X$10),1-$AA$10+($AA$11-(E160*$AB$10)),IF(AND(E160&lt;$Z$11,E160&lt;$X$11),1+$AA$10+($AA$11-(E160*$AB$11)),0)))</f>
        <v>1.1352272727272728</v>
      </c>
      <c r="M160" s="36">
        <f t="shared" ref="M160:M164" si="51">IF(F160&lt;+$AA$6,1+$Y$12,IF(AND(F160&gt;=$Z$12,F160&lt;$X$12),1-$AA$12+($AA$13-(F160*$AB$12)),IF(AND(F160&lt;$Z$13,F160&lt;$X$13),1+$AA$12+($AA$13-(F160*$AB$13)),0)))</f>
        <v>2.0499999999999998</v>
      </c>
      <c r="N160" s="36">
        <f t="shared" ref="N160:N164" si="52">IF(G160=1,J160*E160,E160)</f>
        <v>311.26136363636363</v>
      </c>
      <c r="O160" s="36">
        <f t="shared" ref="O160:O164" si="53">IF(H160=1,K160*F160,F160)</f>
        <v>0</v>
      </c>
      <c r="P160" s="36">
        <f t="shared" ref="P160:P164" si="54">SUM(N160:O160)</f>
        <v>311.26136363636363</v>
      </c>
      <c r="Q160" s="36">
        <f t="shared" ref="Q160:Q164" si="55">IF(G160=1,E160*L160,E160)</f>
        <v>278.13068181818181</v>
      </c>
      <c r="R160" s="36">
        <f t="shared" ref="R160:R164" si="56">IF(H160=1,F160*M160,F160)</f>
        <v>0</v>
      </c>
      <c r="S160" s="37">
        <f t="shared" ref="S160:S164" si="57">SUM(Q160:R160)</f>
        <v>278.13068181818181</v>
      </c>
      <c r="T160">
        <f t="shared" ref="T160:T164" si="58">IF(D160=0,P160,E160+F160)</f>
        <v>245</v>
      </c>
      <c r="U160">
        <f t="shared" ref="U160:U164" si="59">IF(D160=0,S160,E160+F160)</f>
        <v>245</v>
      </c>
      <c r="V160">
        <f>IF(AND(settings!$D$4=0,settings!$D$7=0),'Small Dist Weight'!P160,IF(AND(settings!$D$4=0,settings!$D$7=1),T160,IF(AND(settings!$D$4=1,settings!$D$7=0),S160,U160)))</f>
        <v>278.13068181818181</v>
      </c>
    </row>
    <row r="161" spans="1:22">
      <c r="A161">
        <v>499</v>
      </c>
      <c r="B161">
        <v>499</v>
      </c>
      <c r="C161" t="s">
        <v>593</v>
      </c>
      <c r="D161">
        <v>1</v>
      </c>
      <c r="E161" s="34">
        <f>IF(settings!$G$4=0,'Student Enrollment Data'!BA163,'Student Enrollment Data'!CN163)</f>
        <v>197</v>
      </c>
      <c r="F161" s="34">
        <f>IF(settings!$G$4=0,'Student Enrollment Data'!BB163,'Student Enrollment Data'!CO163)</f>
        <v>0</v>
      </c>
      <c r="G161" s="34">
        <f t="shared" si="45"/>
        <v>1</v>
      </c>
      <c r="H161" s="34">
        <f t="shared" si="46"/>
        <v>1</v>
      </c>
      <c r="I161" s="34">
        <f t="shared" si="47"/>
        <v>1</v>
      </c>
      <c r="J161" s="36">
        <f t="shared" si="48"/>
        <v>1.4231818181818183</v>
      </c>
      <c r="K161" s="36">
        <f t="shared" si="49"/>
        <v>2.0499999999999998</v>
      </c>
      <c r="L161" s="36">
        <f t="shared" si="50"/>
        <v>1.2115909090909092</v>
      </c>
      <c r="M161" s="36">
        <f t="shared" si="51"/>
        <v>2.0499999999999998</v>
      </c>
      <c r="N161" s="36">
        <f t="shared" si="52"/>
        <v>280.36681818181819</v>
      </c>
      <c r="O161" s="36">
        <f t="shared" si="53"/>
        <v>0</v>
      </c>
      <c r="P161" s="36">
        <f t="shared" si="54"/>
        <v>280.36681818181819</v>
      </c>
      <c r="Q161" s="36">
        <f t="shared" si="55"/>
        <v>238.68340909090909</v>
      </c>
      <c r="R161" s="36">
        <f t="shared" si="56"/>
        <v>0</v>
      </c>
      <c r="S161" s="37">
        <f t="shared" si="57"/>
        <v>238.68340909090909</v>
      </c>
      <c r="T161">
        <f t="shared" si="58"/>
        <v>197</v>
      </c>
      <c r="U161">
        <f t="shared" si="59"/>
        <v>197</v>
      </c>
      <c r="V161">
        <f>IF(AND(settings!$D$4=0,settings!$D$7=0),'Small Dist Weight'!P161,IF(AND(settings!$D$4=0,settings!$D$7=1),T161,IF(AND(settings!$D$4=1,settings!$D$7=0),S161,U161)))</f>
        <v>238.68340909090909</v>
      </c>
    </row>
    <row r="162" spans="1:22">
      <c r="A162">
        <v>511</v>
      </c>
      <c r="B162">
        <v>511</v>
      </c>
      <c r="C162" t="s">
        <v>594</v>
      </c>
      <c r="D162">
        <v>1</v>
      </c>
      <c r="E162" s="34">
        <f>IF(settings!$G$4=0,'Student Enrollment Data'!BA164,'Student Enrollment Data'!CN164)</f>
        <v>248.5</v>
      </c>
      <c r="F162" s="34">
        <f>IF(settings!$G$4=0,'Student Enrollment Data'!BB164,'Student Enrollment Data'!CO164)</f>
        <v>0</v>
      </c>
      <c r="G162" s="34">
        <f t="shared" si="45"/>
        <v>1</v>
      </c>
      <c r="H162" s="34">
        <f t="shared" si="46"/>
        <v>1</v>
      </c>
      <c r="I162" s="34">
        <f t="shared" si="47"/>
        <v>1</v>
      </c>
      <c r="J162" s="36">
        <f t="shared" si="48"/>
        <v>1.2593181818181818</v>
      </c>
      <c r="K162" s="36">
        <f t="shared" si="49"/>
        <v>2.0499999999999998</v>
      </c>
      <c r="L162" s="36">
        <f t="shared" si="50"/>
        <v>1.1296590909090911</v>
      </c>
      <c r="M162" s="36">
        <f t="shared" si="51"/>
        <v>2.0499999999999998</v>
      </c>
      <c r="N162" s="36">
        <f t="shared" si="52"/>
        <v>312.94056818181815</v>
      </c>
      <c r="O162" s="36">
        <f t="shared" si="53"/>
        <v>0</v>
      </c>
      <c r="P162" s="36">
        <f t="shared" si="54"/>
        <v>312.94056818181815</v>
      </c>
      <c r="Q162" s="36">
        <f t="shared" si="55"/>
        <v>280.72028409090916</v>
      </c>
      <c r="R162" s="36">
        <f t="shared" si="56"/>
        <v>0</v>
      </c>
      <c r="S162" s="37">
        <f t="shared" si="57"/>
        <v>280.72028409090916</v>
      </c>
      <c r="T162">
        <f t="shared" si="58"/>
        <v>248.5</v>
      </c>
      <c r="U162">
        <f t="shared" si="59"/>
        <v>248.5</v>
      </c>
      <c r="V162">
        <f>IF(AND(settings!$D$4=0,settings!$D$7=0),'Small Dist Weight'!P162,IF(AND(settings!$D$4=0,settings!$D$7=1),T162,IF(AND(settings!$D$4=1,settings!$D$7=0),S162,U162)))</f>
        <v>280.72028409090916</v>
      </c>
    </row>
    <row r="163" spans="1:22">
      <c r="A163">
        <v>513</v>
      </c>
      <c r="B163">
        <v>513</v>
      </c>
      <c r="C163" t="s">
        <v>595</v>
      </c>
      <c r="D163">
        <v>1</v>
      </c>
      <c r="E163" s="34">
        <f>IF(settings!$G$4=0,'Student Enrollment Data'!BA165,'Student Enrollment Data'!CN165)</f>
        <v>190.5</v>
      </c>
      <c r="F163" s="34">
        <f>IF(settings!$G$4=0,'Student Enrollment Data'!BB165,'Student Enrollment Data'!CO165)</f>
        <v>51</v>
      </c>
      <c r="G163" s="34">
        <f t="shared" si="45"/>
        <v>1</v>
      </c>
      <c r="H163" s="34">
        <f t="shared" si="46"/>
        <v>1</v>
      </c>
      <c r="I163" s="34">
        <f t="shared" si="47"/>
        <v>1</v>
      </c>
      <c r="J163" s="36">
        <f t="shared" si="48"/>
        <v>1.4438636363636363</v>
      </c>
      <c r="K163" s="36">
        <f t="shared" si="49"/>
        <v>1.988448275862069</v>
      </c>
      <c r="L163" s="36">
        <f t="shared" si="50"/>
        <v>1.2219318181818184</v>
      </c>
      <c r="M163" s="36">
        <f t="shared" si="51"/>
        <v>1.9576724137931034</v>
      </c>
      <c r="N163" s="36">
        <f t="shared" si="52"/>
        <v>275.0560227272727</v>
      </c>
      <c r="O163" s="36">
        <f t="shared" si="53"/>
        <v>101.41086206896551</v>
      </c>
      <c r="P163" s="36">
        <f t="shared" si="54"/>
        <v>376.46688479623822</v>
      </c>
      <c r="Q163" s="36">
        <f t="shared" si="55"/>
        <v>232.77801136363641</v>
      </c>
      <c r="R163" s="36">
        <f t="shared" si="56"/>
        <v>99.84129310344828</v>
      </c>
      <c r="S163" s="37">
        <f t="shared" si="57"/>
        <v>332.6193044670847</v>
      </c>
      <c r="T163">
        <f t="shared" si="58"/>
        <v>241.5</v>
      </c>
      <c r="U163">
        <f t="shared" si="59"/>
        <v>241.5</v>
      </c>
      <c r="V163">
        <f>IF(AND(settings!$D$4=0,settings!$D$7=0),'Small Dist Weight'!P163,IF(AND(settings!$D$4=0,settings!$D$7=1),T163,IF(AND(settings!$D$4=1,settings!$D$7=0),S163,U163)))</f>
        <v>332.6193044670847</v>
      </c>
    </row>
    <row r="164" spans="1:22">
      <c r="A164">
        <v>518</v>
      </c>
      <c r="B164">
        <v>518</v>
      </c>
      <c r="C164" t="s">
        <v>596</v>
      </c>
      <c r="D164">
        <v>1</v>
      </c>
      <c r="E164" s="34">
        <f>IF(settings!$G$4=0,'Student Enrollment Data'!BA166,'Student Enrollment Data'!CN166)</f>
        <v>0</v>
      </c>
      <c r="F164" s="34">
        <f>IF(settings!$G$4=0,'Student Enrollment Data'!BB166,'Student Enrollment Data'!CO166)</f>
        <v>202</v>
      </c>
      <c r="G164" s="34">
        <f t="shared" si="45"/>
        <v>1</v>
      </c>
      <c r="H164" s="34">
        <f t="shared" si="46"/>
        <v>1</v>
      </c>
      <c r="I164" s="34">
        <f t="shared" si="47"/>
        <v>1</v>
      </c>
      <c r="J164" s="36">
        <f t="shared" si="48"/>
        <v>2.0499999999999998</v>
      </c>
      <c r="K164" s="36">
        <f t="shared" si="49"/>
        <v>1.8062068965517242</v>
      </c>
      <c r="L164" s="36">
        <f t="shared" si="50"/>
        <v>2.0499999999999998</v>
      </c>
      <c r="M164" s="36">
        <f t="shared" si="51"/>
        <v>1.6843103448275862</v>
      </c>
      <c r="N164" s="36">
        <f t="shared" si="52"/>
        <v>0</v>
      </c>
      <c r="O164" s="36">
        <f t="shared" si="53"/>
        <v>364.85379310344831</v>
      </c>
      <c r="P164" s="36">
        <f t="shared" si="54"/>
        <v>364.85379310344831</v>
      </c>
      <c r="Q164" s="36">
        <f t="shared" si="55"/>
        <v>0</v>
      </c>
      <c r="R164" s="36">
        <f t="shared" si="56"/>
        <v>340.2306896551724</v>
      </c>
      <c r="S164" s="37">
        <f t="shared" si="57"/>
        <v>340.2306896551724</v>
      </c>
      <c r="T164">
        <f t="shared" si="58"/>
        <v>202</v>
      </c>
      <c r="U164">
        <f t="shared" si="59"/>
        <v>202</v>
      </c>
      <c r="V164">
        <f>IF(AND(settings!$D$4=0,settings!$D$7=0),'Small Dist Weight'!P164,IF(AND(settings!$D$4=0,settings!$D$7=1),T164,IF(AND(settings!$D$4=1,settings!$D$7=0),S164,U164)))</f>
        <v>340.2306896551724</v>
      </c>
    </row>
    <row r="165" spans="1:22">
      <c r="A165" t="str">
        <f>'Student Enrollment Data'!A167</f>
        <v>555</v>
      </c>
      <c r="B165">
        <f>'Student Enrollment Data'!B167</f>
        <v>555</v>
      </c>
      <c r="C165" t="str">
        <f>'Student Enrollment Data'!C167</f>
        <v>COSSA Academy #555</v>
      </c>
      <c r="D165">
        <v>1</v>
      </c>
      <c r="E165" s="34">
        <f>IF(settings!$G$4=0,'Student Enrollment Data'!BA167,'Student Enrollment Data'!CN167)</f>
        <v>0</v>
      </c>
      <c r="F165" s="34">
        <f>IF(settings!$G$4=0,'Student Enrollment Data'!BB167,'Student Enrollment Data'!CO167)</f>
        <v>134.89950980392157</v>
      </c>
      <c r="G165" s="34">
        <f t="shared" ref="G165:G174" si="60">IF(E165&lt;$X$5,1,0)</f>
        <v>1</v>
      </c>
      <c r="H165" s="34">
        <f t="shared" ref="H165:H174" si="61">IF(F165&lt;$X$6,1,0)</f>
        <v>1</v>
      </c>
      <c r="I165" s="34">
        <f t="shared" ref="I165:I174" si="62">IF(SUM(G165:H165)=2,1,0)</f>
        <v>1</v>
      </c>
      <c r="J165" s="36">
        <f t="shared" ref="J165:J174" si="63">IF(E165&lt;=$AA$5,1+$Y$5,IF(G165=1,1+($Y$5-(E165*($Y$5/$X$5))),""))</f>
        <v>2.0499999999999998</v>
      </c>
      <c r="K165" s="36">
        <f t="shared" ref="K165:K174" si="64">IF(F165&lt;=$AA$6,1+$Y$6,IF(H165=1,1+($Y$6-(F165*($Y$6/$X$6))),""))</f>
        <v>1.8871902467883706</v>
      </c>
      <c r="L165" s="36">
        <f t="shared" ref="L165:L174" si="65">IF(E165&lt;=$AA$5,1+$Y$10,IF(AND(E165&gt;=$Z$10,E165&lt;$X$10),1-$AA$10+($AA$11-(E165*$AB$10)),IF(AND(E165&lt;$Z$11,E165&lt;$X$11),1+$AA$10+($AA$11-(E165*$AB$11)),0)))</f>
        <v>2.0499999999999998</v>
      </c>
      <c r="M165" s="36">
        <f t="shared" ref="M165:M174" si="66">IF(F165&lt;+$AA$6,1+$Y$12,IF(AND(F165&gt;=$Z$12,F165&lt;$X$12),1-$AA$12+($AA$13-(F165*$AB$12)),IF(AND(F165&lt;$Z$13,F165&lt;$X$13),1+$AA$12+($AA$13-(F165*$AB$13)),0)))</f>
        <v>1.8057853701825559</v>
      </c>
      <c r="N165" s="36">
        <f t="shared" ref="N165:N174" si="67">IF(G165=1,J165*E165,E165)</f>
        <v>0</v>
      </c>
      <c r="O165" s="36">
        <f t="shared" ref="O165:O174" si="68">IF(H165=1,K165*F165,F165)</f>
        <v>254.58103919849296</v>
      </c>
      <c r="P165" s="36">
        <f t="shared" ref="P165:P174" si="69">SUM(N165:O165)</f>
        <v>254.58103919849296</v>
      </c>
      <c r="Q165" s="36">
        <f t="shared" ref="Q165:Q174" si="70">IF(G165=1,E165*L165,E165)</f>
        <v>0</v>
      </c>
      <c r="R165" s="36">
        <f t="shared" ref="R165:R174" si="71">IF(H165=1,F165*M165,F165)</f>
        <v>243.59956124871985</v>
      </c>
      <c r="S165" s="37">
        <f t="shared" ref="S165:S174" si="72">SUM(Q165:R165)</f>
        <v>243.59956124871985</v>
      </c>
      <c r="T165">
        <f t="shared" ref="T165:T174" si="73">IF(D165=0,P165,E165+F165)</f>
        <v>134.89950980392157</v>
      </c>
      <c r="U165">
        <f t="shared" ref="U165:U174" si="74">IF(D165=0,S165,E165+F165)</f>
        <v>134.89950980392157</v>
      </c>
      <c r="V165">
        <f>IF(AND(settings!$D$4=0,settings!$D$7=0),'Small Dist Weight'!P165,IF(AND(settings!$D$4=0,settings!$D$7=1),T165,IF(AND(settings!$D$4=1,settings!$D$7=0),S165,U165)))</f>
        <v>243.59956124871985</v>
      </c>
    </row>
    <row r="166" spans="1:22">
      <c r="A166" t="str">
        <f>'Student Enrollment Data'!A168</f>
        <v>559</v>
      </c>
      <c r="B166">
        <f>'Student Enrollment Data'!B168</f>
        <v>559</v>
      </c>
      <c r="C166" t="str">
        <f>'Student Enrollment Data'!C168</f>
        <v>Thomas Jefferson Charter School #559</v>
      </c>
      <c r="D166">
        <v>1</v>
      </c>
      <c r="E166" s="34">
        <f>IF(settings!$G$4=0,'Student Enrollment Data'!BA168,'Student Enrollment Data'!CN168)</f>
        <v>193</v>
      </c>
      <c r="F166" s="34">
        <f>IF(settings!$G$4=0,'Student Enrollment Data'!BB168,'Student Enrollment Data'!CO168)</f>
        <v>177</v>
      </c>
      <c r="G166" s="34">
        <f t="shared" si="60"/>
        <v>1</v>
      </c>
      <c r="H166" s="34">
        <f t="shared" si="61"/>
        <v>1</v>
      </c>
      <c r="I166" s="34">
        <f t="shared" si="62"/>
        <v>1</v>
      </c>
      <c r="J166" s="36">
        <f t="shared" si="63"/>
        <v>1.435909090909091</v>
      </c>
      <c r="K166" s="36">
        <f t="shared" si="64"/>
        <v>1.8363793103448276</v>
      </c>
      <c r="L166" s="36">
        <f t="shared" si="65"/>
        <v>1.2179545454545455</v>
      </c>
      <c r="M166" s="36">
        <f t="shared" si="66"/>
        <v>1.7295689655172415</v>
      </c>
      <c r="N166" s="36">
        <f t="shared" si="67"/>
        <v>277.13045454545454</v>
      </c>
      <c r="O166" s="36">
        <f t="shared" si="68"/>
        <v>325.03913793103447</v>
      </c>
      <c r="P166" s="36">
        <f t="shared" si="69"/>
        <v>602.16959247648902</v>
      </c>
      <c r="Q166" s="36">
        <f t="shared" si="70"/>
        <v>235.06522727272727</v>
      </c>
      <c r="R166" s="36">
        <f t="shared" si="71"/>
        <v>306.13370689655176</v>
      </c>
      <c r="S166" s="37">
        <f t="shared" si="72"/>
        <v>541.19893416927903</v>
      </c>
      <c r="T166">
        <f t="shared" si="73"/>
        <v>370</v>
      </c>
      <c r="U166">
        <f t="shared" si="74"/>
        <v>370</v>
      </c>
      <c r="V166">
        <f>IF(AND(settings!$D$4=0,settings!$D$7=0),'Small Dist Weight'!P166,IF(AND(settings!$D$4=0,settings!$D$7=1),T166,IF(AND(settings!$D$4=1,settings!$D$7=0),S166,U166)))</f>
        <v>541.19893416927903</v>
      </c>
    </row>
    <row r="167" spans="1:22">
      <c r="A167" t="str">
        <f>'Student Enrollment Data'!A169</f>
        <v>751</v>
      </c>
      <c r="B167">
        <f>'Student Enrollment Data'!B169</f>
        <v>751</v>
      </c>
      <c r="C167" t="str">
        <f>'Student Enrollment Data'!C169</f>
        <v>SEI Tec #751</v>
      </c>
      <c r="D167">
        <v>1</v>
      </c>
      <c r="E167" s="34">
        <f>IF(settings!$G$4=0,'Student Enrollment Data'!BA169,'Student Enrollment Data'!CN169)</f>
        <v>0</v>
      </c>
      <c r="F167" s="34">
        <f>IF(settings!$G$4=0,'Student Enrollment Data'!BB169,'Student Enrollment Data'!CO169)</f>
        <v>199</v>
      </c>
      <c r="G167" s="34">
        <f t="shared" si="60"/>
        <v>1</v>
      </c>
      <c r="H167" s="34">
        <f t="shared" si="61"/>
        <v>1</v>
      </c>
      <c r="I167" s="34">
        <f t="shared" si="62"/>
        <v>1</v>
      </c>
      <c r="J167" s="36">
        <f t="shared" si="63"/>
        <v>2.0499999999999998</v>
      </c>
      <c r="K167" s="36">
        <f t="shared" si="64"/>
        <v>1.8098275862068967</v>
      </c>
      <c r="L167" s="36">
        <f t="shared" si="65"/>
        <v>2.0499999999999998</v>
      </c>
      <c r="M167" s="36">
        <f t="shared" si="66"/>
        <v>1.6897413793103448</v>
      </c>
      <c r="N167" s="36">
        <f t="shared" si="67"/>
        <v>0</v>
      </c>
      <c r="O167" s="36">
        <f t="shared" si="68"/>
        <v>360.15568965517241</v>
      </c>
      <c r="P167" s="36">
        <f t="shared" si="69"/>
        <v>360.15568965517241</v>
      </c>
      <c r="Q167" s="36">
        <f t="shared" si="70"/>
        <v>0</v>
      </c>
      <c r="R167" s="36">
        <f t="shared" si="71"/>
        <v>336.25853448275865</v>
      </c>
      <c r="S167" s="37">
        <f t="shared" si="72"/>
        <v>336.25853448275865</v>
      </c>
      <c r="T167">
        <f t="shared" si="73"/>
        <v>199</v>
      </c>
      <c r="U167">
        <f t="shared" si="74"/>
        <v>199</v>
      </c>
      <c r="V167">
        <f>IF(AND(settings!$D$4=0,settings!$D$7=0),'Small Dist Weight'!P167,IF(AND(settings!$D$4=0,settings!$D$7=1),T167,IF(AND(settings!$D$4=1,settings!$D$7=0),S167,U167)))</f>
        <v>336.25853448275865</v>
      </c>
    </row>
    <row r="168" spans="1:22">
      <c r="A168" t="str">
        <f>'Student Enrollment Data'!A170</f>
        <v>768</v>
      </c>
      <c r="B168">
        <f>'Student Enrollment Data'!B170</f>
        <v>768</v>
      </c>
      <c r="C168" t="str">
        <f>'Student Enrollment Data'!C170</f>
        <v>Meridian Technical Charter High School #768</v>
      </c>
      <c r="D168">
        <v>1</v>
      </c>
      <c r="E168" s="34">
        <f>IF(settings!$G$4=0,'Student Enrollment Data'!BA170,'Student Enrollment Data'!CN170)</f>
        <v>0</v>
      </c>
      <c r="F168" s="34">
        <f>IF(settings!$G$4=0,'Student Enrollment Data'!BB170,'Student Enrollment Data'!CO170)</f>
        <v>200</v>
      </c>
      <c r="G168" s="34">
        <f t="shared" si="60"/>
        <v>1</v>
      </c>
      <c r="H168" s="34">
        <f t="shared" si="61"/>
        <v>1</v>
      </c>
      <c r="I168" s="34">
        <f t="shared" si="62"/>
        <v>1</v>
      </c>
      <c r="J168" s="36">
        <f t="shared" si="63"/>
        <v>2.0499999999999998</v>
      </c>
      <c r="K168" s="36">
        <f t="shared" si="64"/>
        <v>1.8086206896551724</v>
      </c>
      <c r="L168" s="36">
        <f t="shared" si="65"/>
        <v>2.0499999999999998</v>
      </c>
      <c r="M168" s="36">
        <f t="shared" si="66"/>
        <v>1.6879310344827587</v>
      </c>
      <c r="N168" s="36">
        <f t="shared" si="67"/>
        <v>0</v>
      </c>
      <c r="O168" s="36">
        <f t="shared" si="68"/>
        <v>361.72413793103448</v>
      </c>
      <c r="P168" s="36">
        <f t="shared" si="69"/>
        <v>361.72413793103448</v>
      </c>
      <c r="Q168" s="36">
        <f t="shared" si="70"/>
        <v>0</v>
      </c>
      <c r="R168" s="36">
        <f t="shared" si="71"/>
        <v>337.58620689655174</v>
      </c>
      <c r="S168" s="37">
        <f t="shared" si="72"/>
        <v>337.58620689655174</v>
      </c>
      <c r="T168">
        <f t="shared" si="73"/>
        <v>200</v>
      </c>
      <c r="U168">
        <f t="shared" si="74"/>
        <v>200</v>
      </c>
      <c r="V168">
        <f>IF(AND(settings!$D$4=0,settings!$D$7=0),'Small Dist Weight'!P168,IF(AND(settings!$D$4=0,settings!$D$7=1),T168,IF(AND(settings!$D$4=1,settings!$D$7=0),S168,U168)))</f>
        <v>337.58620689655174</v>
      </c>
    </row>
    <row r="169" spans="1:22">
      <c r="A169" t="str">
        <f>'Student Enrollment Data'!A171</f>
        <v>785</v>
      </c>
      <c r="B169">
        <f>'Student Enrollment Data'!B171</f>
        <v>785</v>
      </c>
      <c r="C169" t="str">
        <f>'Student Enrollment Data'!C171</f>
        <v>Meridian Medical Arts Charter High School #785</v>
      </c>
      <c r="D169">
        <v>1</v>
      </c>
      <c r="E169" s="34">
        <f>IF(settings!$G$4=0,'Student Enrollment Data'!BA171,'Student Enrollment Data'!CN171)</f>
        <v>0</v>
      </c>
      <c r="F169" s="34">
        <f>IF(settings!$G$4=0,'Student Enrollment Data'!BB171,'Student Enrollment Data'!CO171)</f>
        <v>194</v>
      </c>
      <c r="G169" s="34">
        <f t="shared" si="60"/>
        <v>1</v>
      </c>
      <c r="H169" s="34">
        <f t="shared" si="61"/>
        <v>1</v>
      </c>
      <c r="I169" s="34">
        <f t="shared" si="62"/>
        <v>1</v>
      </c>
      <c r="J169" s="36">
        <f t="shared" si="63"/>
        <v>2.0499999999999998</v>
      </c>
      <c r="K169" s="36">
        <f t="shared" si="64"/>
        <v>1.8158620689655174</v>
      </c>
      <c r="L169" s="36">
        <f t="shared" si="65"/>
        <v>2.0499999999999998</v>
      </c>
      <c r="M169" s="36">
        <f t="shared" si="66"/>
        <v>1.6987931034482759</v>
      </c>
      <c r="N169" s="36">
        <f t="shared" si="67"/>
        <v>0</v>
      </c>
      <c r="O169" s="36">
        <f t="shared" si="68"/>
        <v>352.2772413793104</v>
      </c>
      <c r="P169" s="36">
        <f t="shared" si="69"/>
        <v>352.2772413793104</v>
      </c>
      <c r="Q169" s="36">
        <f t="shared" si="70"/>
        <v>0</v>
      </c>
      <c r="R169" s="36">
        <f t="shared" si="71"/>
        <v>329.56586206896554</v>
      </c>
      <c r="S169" s="37">
        <f t="shared" si="72"/>
        <v>329.56586206896554</v>
      </c>
      <c r="T169">
        <f t="shared" si="73"/>
        <v>194</v>
      </c>
      <c r="U169">
        <f t="shared" si="74"/>
        <v>194</v>
      </c>
      <c r="V169">
        <f>IF(AND(settings!$D$4=0,settings!$D$7=0),'Small Dist Weight'!P169,IF(AND(settings!$D$4=0,settings!$D$7=1),T169,IF(AND(settings!$D$4=1,settings!$D$7=0),S169,U169)))</f>
        <v>329.56586206896554</v>
      </c>
    </row>
    <row r="170" spans="1:22">
      <c r="A170" t="str">
        <f>'Student Enrollment Data'!A172</f>
        <v>790</v>
      </c>
      <c r="B170">
        <f>'Student Enrollment Data'!B172</f>
        <v>790</v>
      </c>
      <c r="C170" t="str">
        <f>'Student Enrollment Data'!C172</f>
        <v>ARTEC Charter School #790</v>
      </c>
      <c r="D170">
        <v>1</v>
      </c>
      <c r="E170" s="34">
        <f>IF(settings!$G$4=0,'Student Enrollment Data'!BA172,'Student Enrollment Data'!CN172)</f>
        <v>0</v>
      </c>
      <c r="F170" s="34">
        <f>IF(settings!$G$4=0,'Student Enrollment Data'!BB172,'Student Enrollment Data'!CO172)</f>
        <v>200</v>
      </c>
      <c r="G170" s="34">
        <f t="shared" si="60"/>
        <v>1</v>
      </c>
      <c r="H170" s="34">
        <f t="shared" si="61"/>
        <v>1</v>
      </c>
      <c r="I170" s="34">
        <f t="shared" si="62"/>
        <v>1</v>
      </c>
      <c r="J170" s="36">
        <f t="shared" si="63"/>
        <v>2.0499999999999998</v>
      </c>
      <c r="K170" s="36">
        <f t="shared" si="64"/>
        <v>1.8086206896551724</v>
      </c>
      <c r="L170" s="36">
        <f t="shared" si="65"/>
        <v>2.0499999999999998</v>
      </c>
      <c r="M170" s="36">
        <f t="shared" si="66"/>
        <v>1.6879310344827587</v>
      </c>
      <c r="N170" s="36">
        <f t="shared" si="67"/>
        <v>0</v>
      </c>
      <c r="O170" s="36">
        <f t="shared" si="68"/>
        <v>361.72413793103448</v>
      </c>
      <c r="P170" s="36">
        <f t="shared" si="69"/>
        <v>361.72413793103448</v>
      </c>
      <c r="Q170" s="36">
        <f t="shared" si="70"/>
        <v>0</v>
      </c>
      <c r="R170" s="36">
        <f t="shared" si="71"/>
        <v>337.58620689655174</v>
      </c>
      <c r="S170" s="37">
        <f t="shared" si="72"/>
        <v>337.58620689655174</v>
      </c>
      <c r="T170">
        <f t="shared" si="73"/>
        <v>200</v>
      </c>
      <c r="U170">
        <f t="shared" si="74"/>
        <v>200</v>
      </c>
      <c r="V170">
        <f>IF(AND(settings!$D$4=0,settings!$D$7=0),'Small Dist Weight'!P170,IF(AND(settings!$D$4=0,settings!$D$7=1),T170,IF(AND(settings!$D$4=1,settings!$D$7=0),S170,U170)))</f>
        <v>337.58620689655174</v>
      </c>
    </row>
    <row r="171" spans="1:22">
      <c r="A171" t="str">
        <f>'Student Enrollment Data'!A173</f>
        <v>794</v>
      </c>
      <c r="B171">
        <f>'Student Enrollment Data'!B173</f>
        <v>794</v>
      </c>
      <c r="C171" t="str">
        <f>'Student Enrollment Data'!C173</f>
        <v>Payette River Technical Academy #794</v>
      </c>
      <c r="D171">
        <v>1</v>
      </c>
      <c r="E171" s="34">
        <f>IF(settings!$G$4=0,'Student Enrollment Data'!BA173,'Student Enrollment Data'!CN173)</f>
        <v>0</v>
      </c>
      <c r="F171" s="34">
        <f>IF(settings!$G$4=0,'Student Enrollment Data'!BB173,'Student Enrollment Data'!CO173)</f>
        <v>195</v>
      </c>
      <c r="G171" s="34">
        <f t="shared" si="60"/>
        <v>1</v>
      </c>
      <c r="H171" s="34">
        <f t="shared" si="61"/>
        <v>1</v>
      </c>
      <c r="I171" s="34">
        <f t="shared" si="62"/>
        <v>1</v>
      </c>
      <c r="J171" s="36">
        <f t="shared" si="63"/>
        <v>2.0499999999999998</v>
      </c>
      <c r="K171" s="36">
        <f t="shared" si="64"/>
        <v>1.8146551724137931</v>
      </c>
      <c r="L171" s="36">
        <f t="shared" si="65"/>
        <v>2.0499999999999998</v>
      </c>
      <c r="M171" s="36">
        <f t="shared" si="66"/>
        <v>1.6969827586206896</v>
      </c>
      <c r="N171" s="36">
        <f t="shared" si="67"/>
        <v>0</v>
      </c>
      <c r="O171" s="36">
        <f t="shared" si="68"/>
        <v>353.85775862068965</v>
      </c>
      <c r="P171" s="36">
        <f t="shared" si="69"/>
        <v>353.85775862068965</v>
      </c>
      <c r="Q171" s="36">
        <f t="shared" si="70"/>
        <v>0</v>
      </c>
      <c r="R171" s="36">
        <f t="shared" si="71"/>
        <v>330.91163793103448</v>
      </c>
      <c r="S171" s="37">
        <f t="shared" si="72"/>
        <v>330.91163793103448</v>
      </c>
      <c r="T171">
        <f t="shared" si="73"/>
        <v>195</v>
      </c>
      <c r="U171">
        <f t="shared" si="74"/>
        <v>195</v>
      </c>
      <c r="V171">
        <f>IF(AND(settings!$D$4=0,settings!$D$7=0),'Small Dist Weight'!P171,IF(AND(settings!$D$4=0,settings!$D$7=1),T171,IF(AND(settings!$D$4=1,settings!$D$7=0),S171,U171)))</f>
        <v>330.91163793103448</v>
      </c>
    </row>
    <row r="172" spans="1:22">
      <c r="A172" t="str">
        <f>'Student Enrollment Data'!A174</f>
        <v>795</v>
      </c>
      <c r="B172">
        <f>'Student Enrollment Data'!B174</f>
        <v>795</v>
      </c>
      <c r="C172" t="str">
        <f>'Student Enrollment Data'!C174</f>
        <v>Idaho Arts Charter School #795</v>
      </c>
      <c r="D172">
        <v>1</v>
      </c>
      <c r="E172" s="34">
        <f>IF(settings!$G$4=0,'Student Enrollment Data'!BA174,'Student Enrollment Data'!CN174)</f>
        <v>778</v>
      </c>
      <c r="F172" s="34">
        <f>IF(settings!$G$4=0,'Student Enrollment Data'!BB174,'Student Enrollment Data'!CO174)</f>
        <v>338</v>
      </c>
      <c r="G172" s="34">
        <f t="shared" si="60"/>
        <v>0</v>
      </c>
      <c r="H172" s="34">
        <f t="shared" si="61"/>
        <v>1</v>
      </c>
      <c r="I172" s="34">
        <f t="shared" si="62"/>
        <v>0</v>
      </c>
      <c r="J172" s="36" t="str">
        <f t="shared" si="63"/>
        <v/>
      </c>
      <c r="K172" s="36">
        <f t="shared" si="64"/>
        <v>1.6420689655172414</v>
      </c>
      <c r="L172" s="36">
        <f t="shared" si="65"/>
        <v>0</v>
      </c>
      <c r="M172" s="36">
        <f t="shared" si="66"/>
        <v>1.4381034482758621</v>
      </c>
      <c r="N172" s="36">
        <f t="shared" si="67"/>
        <v>778</v>
      </c>
      <c r="O172" s="36">
        <f t="shared" si="68"/>
        <v>555.01931034482755</v>
      </c>
      <c r="P172" s="36">
        <f t="shared" si="69"/>
        <v>1333.0193103448275</v>
      </c>
      <c r="Q172" s="36">
        <f t="shared" si="70"/>
        <v>778</v>
      </c>
      <c r="R172" s="36">
        <f t="shared" si="71"/>
        <v>486.07896551724139</v>
      </c>
      <c r="S172" s="37">
        <f t="shared" si="72"/>
        <v>1264.0789655172414</v>
      </c>
      <c r="T172">
        <f t="shared" si="73"/>
        <v>1116</v>
      </c>
      <c r="U172">
        <f t="shared" si="74"/>
        <v>1116</v>
      </c>
      <c r="V172">
        <f>IF(AND(settings!$D$4=0,settings!$D$7=0),'Small Dist Weight'!P172,IF(AND(settings!$D$4=0,settings!$D$7=1),T172,IF(AND(settings!$D$4=1,settings!$D$7=0),S172,U172)))</f>
        <v>1264.0789655172414</v>
      </c>
    </row>
    <row r="173" spans="1:22">
      <c r="A173" t="str">
        <f>'Student Enrollment Data'!A175</f>
        <v>796</v>
      </c>
      <c r="B173">
        <f>'Student Enrollment Data'!B175</f>
        <v>796</v>
      </c>
      <c r="C173" t="str">
        <f>'Student Enrollment Data'!C175</f>
        <v>Gem Prep: Nampa #796</v>
      </c>
      <c r="D173">
        <v>1</v>
      </c>
      <c r="E173" s="34">
        <f>IF(settings!$G$4=0,'Student Enrollment Data'!BA175,'Student Enrollment Data'!CN175)</f>
        <v>338.5</v>
      </c>
      <c r="F173" s="34">
        <f>IF(settings!$G$4=0,'Student Enrollment Data'!BB175,'Student Enrollment Data'!CO175)</f>
        <v>0</v>
      </c>
      <c r="G173" s="34">
        <f t="shared" si="60"/>
        <v>0</v>
      </c>
      <c r="H173" s="34">
        <f t="shared" si="61"/>
        <v>1</v>
      </c>
      <c r="I173" s="34">
        <f t="shared" si="62"/>
        <v>0</v>
      </c>
      <c r="J173" s="36" t="str">
        <f t="shared" si="63"/>
        <v/>
      </c>
      <c r="K173" s="36">
        <f t="shared" si="64"/>
        <v>2.0499999999999998</v>
      </c>
      <c r="L173" s="36">
        <f t="shared" si="65"/>
        <v>0</v>
      </c>
      <c r="M173" s="36">
        <f t="shared" si="66"/>
        <v>2.0499999999999998</v>
      </c>
      <c r="N173" s="36">
        <f t="shared" si="67"/>
        <v>338.5</v>
      </c>
      <c r="O173" s="36">
        <f t="shared" si="68"/>
        <v>0</v>
      </c>
      <c r="P173" s="36">
        <f t="shared" si="69"/>
        <v>338.5</v>
      </c>
      <c r="Q173" s="36">
        <f t="shared" si="70"/>
        <v>338.5</v>
      </c>
      <c r="R173" s="36">
        <f t="shared" si="71"/>
        <v>0</v>
      </c>
      <c r="S173" s="37">
        <f t="shared" si="72"/>
        <v>338.5</v>
      </c>
      <c r="T173">
        <f t="shared" si="73"/>
        <v>338.5</v>
      </c>
      <c r="U173">
        <f t="shared" si="74"/>
        <v>338.5</v>
      </c>
      <c r="V173">
        <f>IF(AND(settings!$D$4=0,settings!$D$7=0),'Small Dist Weight'!P173,IF(AND(settings!$D$4=0,settings!$D$7=1),T173,IF(AND(settings!$D$4=1,settings!$D$7=0),S173,U173)))</f>
        <v>338.5</v>
      </c>
    </row>
    <row r="174" spans="1:22">
      <c r="A174" t="str">
        <f>'Student Enrollment Data'!A176</f>
        <v>813</v>
      </c>
      <c r="B174">
        <f>'Student Enrollment Data'!B176</f>
        <v>813</v>
      </c>
      <c r="C174" t="str">
        <f>'Student Enrollment Data'!C176</f>
        <v>Moscow Charter School #813</v>
      </c>
      <c r="D174">
        <v>1</v>
      </c>
      <c r="E174" s="34">
        <f>IF(settings!$G$4=0,'Student Enrollment Data'!BA176,'Student Enrollment Data'!CN176)</f>
        <v>131</v>
      </c>
      <c r="F174" s="34">
        <f>IF(settings!$G$4=0,'Student Enrollment Data'!BB176,'Student Enrollment Data'!CO176)</f>
        <v>34</v>
      </c>
      <c r="G174" s="34">
        <f t="shared" si="60"/>
        <v>1</v>
      </c>
      <c r="H174" s="34">
        <f t="shared" si="61"/>
        <v>1</v>
      </c>
      <c r="I174" s="34">
        <f t="shared" si="62"/>
        <v>1</v>
      </c>
      <c r="J174" s="36">
        <f t="shared" si="63"/>
        <v>1.6331818181818183</v>
      </c>
      <c r="K174" s="36">
        <f t="shared" si="64"/>
        <v>2.0089655172413794</v>
      </c>
      <c r="L174" s="36">
        <f t="shared" si="65"/>
        <v>1.4247727272727273</v>
      </c>
      <c r="M174" s="36">
        <f t="shared" si="66"/>
        <v>1.988448275862069</v>
      </c>
      <c r="N174" s="36">
        <f t="shared" si="67"/>
        <v>213.9468181818182</v>
      </c>
      <c r="O174" s="36">
        <f t="shared" si="68"/>
        <v>68.304827586206898</v>
      </c>
      <c r="P174" s="36">
        <f t="shared" si="69"/>
        <v>282.25164576802513</v>
      </c>
      <c r="Q174" s="36">
        <f t="shared" si="70"/>
        <v>186.64522727272728</v>
      </c>
      <c r="R174" s="36">
        <f t="shared" si="71"/>
        <v>67.607241379310338</v>
      </c>
      <c r="S174" s="37">
        <f t="shared" si="72"/>
        <v>254.25246865203763</v>
      </c>
      <c r="T174">
        <f t="shared" si="73"/>
        <v>165</v>
      </c>
      <c r="U174">
        <f t="shared" si="74"/>
        <v>165</v>
      </c>
      <c r="V174">
        <f>IF(AND(settings!$D$4=0,settings!$D$7=0),'Small Dist Weight'!P174,IF(AND(settings!$D$4=0,settings!$D$7=1),T174,IF(AND(settings!$D$4=1,settings!$D$7=0),S174,U174)))</f>
        <v>254.25246865203763</v>
      </c>
    </row>
    <row r="176" spans="1:22">
      <c r="E176" s="39">
        <f>SUM(E2:E175)</f>
        <v>151996.28159112515</v>
      </c>
      <c r="F176" s="39">
        <f>SUM(F2:F175)</f>
        <v>142532.58769563946</v>
      </c>
    </row>
    <row r="178" spans="4:4">
      <c r="D178" s="74"/>
    </row>
  </sheetData>
  <mergeCells count="1">
    <mergeCell ref="AA3:A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topLeftCell="D1" zoomScaleNormal="100" workbookViewId="0">
      <selection activeCell="K1" sqref="K1"/>
    </sheetView>
  </sheetViews>
  <sheetFormatPr defaultColWidth="8.85546875" defaultRowHeight="15"/>
  <cols>
    <col min="2" max="2" width="19.42578125" bestFit="1" customWidth="1"/>
    <col min="3" max="3" width="8.42578125" bestFit="1" customWidth="1"/>
    <col min="4" max="4" width="47.42578125" customWidth="1"/>
    <col min="5" max="5" width="10" bestFit="1" customWidth="1"/>
    <col min="6" max="6" width="12.42578125" style="138" customWidth="1"/>
    <col min="7" max="7" width="12.85546875" style="131" bestFit="1" customWidth="1"/>
    <col min="8" max="8" width="10.42578125" style="138" customWidth="1"/>
    <col min="9" max="9" width="11.42578125" style="131" customWidth="1"/>
    <col min="14" max="14" width="44.140625" bestFit="1" customWidth="1"/>
    <col min="15" max="15" width="23.7109375" bestFit="1" customWidth="1"/>
    <col min="16" max="16" width="19" customWidth="1"/>
    <col min="17" max="20" width="2" customWidth="1"/>
  </cols>
  <sheetData>
    <row r="1" spans="1:20" ht="120">
      <c r="A1" t="s">
        <v>337</v>
      </c>
      <c r="B1" t="s">
        <v>338</v>
      </c>
      <c r="C1" t="s">
        <v>339</v>
      </c>
      <c r="D1" t="s">
        <v>340</v>
      </c>
      <c r="E1" t="s">
        <v>306</v>
      </c>
      <c r="F1" s="140" t="s">
        <v>550</v>
      </c>
      <c r="G1" s="143" t="s">
        <v>551</v>
      </c>
      <c r="H1" s="141" t="s">
        <v>549</v>
      </c>
      <c r="I1" s="145" t="s">
        <v>548</v>
      </c>
      <c r="J1" s="62" t="s">
        <v>552</v>
      </c>
      <c r="K1" s="62" t="s">
        <v>553</v>
      </c>
      <c r="M1" t="s">
        <v>337</v>
      </c>
      <c r="N1" t="s">
        <v>338</v>
      </c>
      <c r="O1" s="23" t="s">
        <v>554</v>
      </c>
      <c r="P1" s="58" t="s">
        <v>555</v>
      </c>
      <c r="Q1" t="s">
        <v>556</v>
      </c>
      <c r="R1" t="s">
        <v>557</v>
      </c>
      <c r="S1" t="s">
        <v>569</v>
      </c>
    </row>
    <row r="2" spans="1:20">
      <c r="A2" s="60">
        <v>21</v>
      </c>
      <c r="B2" t="s">
        <v>341</v>
      </c>
      <c r="C2" s="60">
        <v>349</v>
      </c>
      <c r="D2" t="s">
        <v>344</v>
      </c>
      <c r="E2" s="23">
        <v>83.01072066706368</v>
      </c>
      <c r="F2" s="139">
        <f>IF(E2&lt;='Small Dist Weight'!$AA$5,1+'Small Dist Weight'!$Y$5,IF(E2&gt;0,1+('Small Dist Weight'!$Y$5-(E2*('Small Dist Weight'!$Y$5/'Small Dist Weight'!$X$5))),""))</f>
        <v>1.7858749796957065</v>
      </c>
      <c r="G2" s="144">
        <f>IF(E2&lt;='Small Dist Weight'!$AA$5,1+'Small Dist Weight'!$Y$10,IF(AND(E2&gt;='Small Dist Weight'!$Z$10,E2&lt;'Small Dist Weight'!$X$10),1-'Small Dist Weight'!$AA$10+('Small Dist Weight'!$AA$11-(E2*'Small Dist Weight'!$AB$10)),IF(AND(E2&lt;'Small Dist Weight'!$Z$11,E2&lt;'Small Dist Weight'!$X$11),1+'Small Dist Weight'!$AA$10+('Small Dist Weight'!$AA$11-(E2*'Small Dist Weight'!$AB$11)),0)))</f>
        <v>1.6538124695435596</v>
      </c>
      <c r="H2" s="142">
        <f>IF(F2&lt;1,0,$E2*(F2-1))</f>
        <v>65.236048418754635</v>
      </c>
      <c r="I2" s="146">
        <f>IF(G2&lt;1,0,$E2*(G2-1))</f>
        <v>54.27344427792351</v>
      </c>
      <c r="J2">
        <f>IF(settings!$D$4=0,'Remote School Building Weight'!H2,'Remote School Building Weight'!I2)</f>
        <v>54.27344427792351</v>
      </c>
      <c r="K2">
        <f>IF(settings!$L$4=0,'Remote School Building Weight'!J2,0)</f>
        <v>54.27344427792351</v>
      </c>
      <c r="M2">
        <v>1</v>
      </c>
      <c r="N2" t="s">
        <v>11</v>
      </c>
      <c r="O2">
        <f>SUMIF($A$2:$A$46,M2,$K$2:$K$46)</f>
        <v>0</v>
      </c>
      <c r="P2">
        <f>SUMIF($A$2:$A$46,M2,($E$2:$E$46))*'Front page'!$E$14</f>
        <v>0</v>
      </c>
      <c r="Q2">
        <f t="shared" ref="Q2:Q42" si="0">SUMIF($A$2:$A$46,M2,$E$2:$E$46)</f>
        <v>0</v>
      </c>
      <c r="R2">
        <f>O2+Q2</f>
        <v>0</v>
      </c>
      <c r="S2" s="65"/>
    </row>
    <row r="3" spans="1:20">
      <c r="A3" s="60">
        <v>21</v>
      </c>
      <c r="B3" t="s">
        <v>341</v>
      </c>
      <c r="C3" s="60">
        <v>350</v>
      </c>
      <c r="D3" t="s">
        <v>342</v>
      </c>
      <c r="E3" s="23">
        <v>108.77429048788471</v>
      </c>
      <c r="F3" s="139">
        <f>IF(E3&lt;='Small Dist Weight'!$AA$5,1+'Small Dist Weight'!$Y$5,IF(E3&gt;0,1+('Small Dist Weight'!$Y$5-(E3*('Small Dist Weight'!$Y$5/'Small Dist Weight'!$X$5))),""))</f>
        <v>1.7038999848112759</v>
      </c>
      <c r="G3" s="144">
        <f>IF(E3&lt;='Small Dist Weight'!$AA$5,1+'Small Dist Weight'!$Y$10,IF(AND(E3&gt;='Small Dist Weight'!$Z$10,E3&lt;'Small Dist Weight'!$X$10),1-'Small Dist Weight'!$AA$10+('Small Dist Weight'!$AA$11-(E3*'Small Dist Weight'!$AB$10)),IF(AND(E3&lt;'Small Dist Weight'!$Z$11,E3&lt;'Small Dist Weight'!$X$11),1+'Small Dist Weight'!$AA$10+('Small Dist Weight'!$AA$11-(E3*'Small Dist Weight'!$AB$11)),0)))</f>
        <v>1.530849977216914</v>
      </c>
      <c r="H3" s="142">
        <f t="shared" ref="H3:H46" si="1">IF(F3&lt;1,0,$E3*(F3-1))</f>
        <v>76.566221422279369</v>
      </c>
      <c r="I3" s="146">
        <f t="shared" ref="I3:I46" si="2">IF(G3&lt;1,0,$E3*(G3-1))</f>
        <v>57.742829627279583</v>
      </c>
      <c r="J3">
        <f>IF(settings!$D$4=0,'Remote School Building Weight'!H3,'Remote School Building Weight'!I3)</f>
        <v>57.742829627279583</v>
      </c>
      <c r="K3">
        <f>IF(settings!$L$4=0,'Remote School Building Weight'!J3,0)</f>
        <v>57.742829627279583</v>
      </c>
      <c r="M3">
        <v>2</v>
      </c>
      <c r="N3" t="s">
        <v>12</v>
      </c>
      <c r="O3">
        <f t="shared" ref="O3:O66" si="3">SUMIF($A$2:$A$46,M3,$K$2:$K$46)</f>
        <v>0</v>
      </c>
      <c r="P3">
        <f>SUMIF($A$2:$A$46,M3,($E$2:$E$46))*'Front page'!$E$14</f>
        <v>0</v>
      </c>
      <c r="Q3">
        <f t="shared" si="0"/>
        <v>0</v>
      </c>
      <c r="R3">
        <f t="shared" ref="R3:R66" si="4">O3+Q3</f>
        <v>0</v>
      </c>
      <c r="S3" s="65"/>
    </row>
    <row r="4" spans="1:20">
      <c r="A4" s="60">
        <v>21</v>
      </c>
      <c r="B4" t="s">
        <v>341</v>
      </c>
      <c r="C4" s="60">
        <v>351</v>
      </c>
      <c r="D4" t="s">
        <v>343</v>
      </c>
      <c r="E4" s="23">
        <v>234.35489403164789</v>
      </c>
      <c r="F4" s="139">
        <f>IF(E4&lt;='Small Dist Weight'!$AA$5,1+'Small Dist Weight'!$Y$5,IF(E4&gt;0,1+('Small Dist Weight'!$Y$5-(E4*('Small Dist Weight'!$Y$5/'Small Dist Weight'!$X$5))),""))</f>
        <v>1.3043253371720294</v>
      </c>
      <c r="G4" s="144">
        <f>IF(E4&lt;='Small Dist Weight'!$AA$5,1+'Small Dist Weight'!$Y$10,IF(AND(E4&gt;='Small Dist Weight'!$Z$10,E4&lt;'Small Dist Weight'!$X$10),1-'Small Dist Weight'!$AA$10+('Small Dist Weight'!$AA$11-(E4*'Small Dist Weight'!$AB$10)),IF(AND(E4&lt;'Small Dist Weight'!$Z$11,E4&lt;'Small Dist Weight'!$X$11),1+'Small Dist Weight'!$AA$10+('Small Dist Weight'!$AA$11-(E4*'Small Dist Weight'!$AB$11)),0)))</f>
        <v>1.1521626685860149</v>
      </c>
      <c r="H4" s="142">
        <f t="shared" si="1"/>
        <v>71.320132144096462</v>
      </c>
      <c r="I4" s="146">
        <f t="shared" si="2"/>
        <v>35.660066072048281</v>
      </c>
      <c r="J4">
        <f>IF(settings!$D$4=0,'Remote School Building Weight'!H4,'Remote School Building Weight'!I4)</f>
        <v>35.660066072048281</v>
      </c>
      <c r="K4">
        <f>IF(settings!$L$4=0,'Remote School Building Weight'!J4,0)</f>
        <v>35.660066072048281</v>
      </c>
      <c r="M4">
        <v>3</v>
      </c>
      <c r="N4" t="s">
        <v>13</v>
      </c>
      <c r="O4">
        <f t="shared" si="3"/>
        <v>0</v>
      </c>
      <c r="P4">
        <f>SUMIF($A$2:$A$46,M4,($E$2:$E$46))*'Front page'!$E$14</f>
        <v>0</v>
      </c>
      <c r="Q4">
        <f t="shared" si="0"/>
        <v>0</v>
      </c>
      <c r="R4">
        <f t="shared" si="4"/>
        <v>0</v>
      </c>
      <c r="S4" s="65"/>
    </row>
    <row r="5" spans="1:20">
      <c r="A5" s="60">
        <v>33</v>
      </c>
      <c r="B5" t="s">
        <v>345</v>
      </c>
      <c r="C5" s="60">
        <v>370</v>
      </c>
      <c r="D5" t="s">
        <v>346</v>
      </c>
      <c r="E5" s="23">
        <v>414.72349750283973</v>
      </c>
      <c r="F5" s="139">
        <f>IF(E5&lt;='Small Dist Weight'!$AA$5,1+'Small Dist Weight'!$Y$5,IF(E5&gt;0,1+('Small Dist Weight'!$Y$5-(E5*('Small Dist Weight'!$Y$5/'Small Dist Weight'!$X$5))),""))</f>
        <v>0.73042523521823721</v>
      </c>
      <c r="G5" s="144">
        <f>IF(E5&lt;='Small Dist Weight'!$AA$5,1+'Small Dist Weight'!$Y$10,IF(AND(E5&gt;='Small Dist Weight'!$Z$10,E5&lt;'Small Dist Weight'!$X$10),1-'Small Dist Weight'!$AA$10+('Small Dist Weight'!$AA$11-(E5*'Small Dist Weight'!$AB$10)),IF(AND(E5&lt;'Small Dist Weight'!$Z$11,E5&lt;'Small Dist Weight'!$X$11),1+'Small Dist Weight'!$AA$10+('Small Dist Weight'!$AA$11-(E5*'Small Dist Weight'!$AB$11)),0)))</f>
        <v>0</v>
      </c>
      <c r="H5" s="142">
        <f t="shared" si="1"/>
        <v>0</v>
      </c>
      <c r="I5" s="146">
        <f t="shared" si="2"/>
        <v>0</v>
      </c>
      <c r="J5">
        <f>IF(settings!$D$4=0,'Remote School Building Weight'!H5,'Remote School Building Weight'!I5)</f>
        <v>0</v>
      </c>
      <c r="K5">
        <f>IF(settings!$L$4=0,'Remote School Building Weight'!J5,0)</f>
        <v>0</v>
      </c>
      <c r="M5">
        <v>11</v>
      </c>
      <c r="N5" t="s">
        <v>14</v>
      </c>
      <c r="O5">
        <f t="shared" si="3"/>
        <v>0</v>
      </c>
      <c r="P5">
        <f>SUMIF($A$2:$A$46,M5,($E$2:$E$46))*'Front page'!$E$14</f>
        <v>0</v>
      </c>
      <c r="Q5">
        <f t="shared" si="0"/>
        <v>0</v>
      </c>
      <c r="R5">
        <f t="shared" si="4"/>
        <v>0</v>
      </c>
      <c r="S5" s="65"/>
    </row>
    <row r="6" spans="1:20">
      <c r="A6" s="60">
        <v>33</v>
      </c>
      <c r="B6" t="s">
        <v>345</v>
      </c>
      <c r="C6" s="60">
        <v>371</v>
      </c>
      <c r="D6" t="s">
        <v>347</v>
      </c>
      <c r="E6" s="23">
        <v>104.5271042867477</v>
      </c>
      <c r="F6" s="139">
        <f>IF(E6&lt;='Small Dist Weight'!$AA$5,1+'Small Dist Weight'!$Y$5,IF(E6&gt;0,1+('Small Dist Weight'!$Y$5-(E6*('Small Dist Weight'!$Y$5/'Small Dist Weight'!$X$5))),""))</f>
        <v>1.7174137590876211</v>
      </c>
      <c r="G6" s="144">
        <f>IF(E6&lt;='Small Dist Weight'!$AA$5,1+'Small Dist Weight'!$Y$10,IF(AND(E6&gt;='Small Dist Weight'!$Z$10,E6&lt;'Small Dist Weight'!$X$10),1-'Small Dist Weight'!$AA$10+('Small Dist Weight'!$AA$11-(E6*'Small Dist Weight'!$AB$10)),IF(AND(E6&lt;'Small Dist Weight'!$Z$11,E6&lt;'Small Dist Weight'!$X$11),1+'Small Dist Weight'!$AA$10+('Small Dist Weight'!$AA$11-(E6*'Small Dist Weight'!$AB$11)),0)))</f>
        <v>1.5511206386314313</v>
      </c>
      <c r="H6" s="142">
        <f t="shared" si="1"/>
        <v>74.989182812899458</v>
      </c>
      <c r="I6" s="146">
        <f t="shared" si="2"/>
        <v>57.60704446880662</v>
      </c>
      <c r="J6">
        <f>IF(settings!$D$4=0,'Remote School Building Weight'!H6,'Remote School Building Weight'!I6)</f>
        <v>57.60704446880662</v>
      </c>
      <c r="K6">
        <f>IF(settings!$L$4=0,'Remote School Building Weight'!J6,0)</f>
        <v>57.60704446880662</v>
      </c>
      <c r="M6">
        <v>13</v>
      </c>
      <c r="N6" t="s">
        <v>15</v>
      </c>
      <c r="O6">
        <f t="shared" si="3"/>
        <v>0</v>
      </c>
      <c r="P6">
        <f>SUMIF($A$2:$A$46,M6,($E$2:$E$46))*'Front page'!$E$14</f>
        <v>0</v>
      </c>
      <c r="Q6">
        <f t="shared" si="0"/>
        <v>0</v>
      </c>
      <c r="R6">
        <f t="shared" si="4"/>
        <v>0</v>
      </c>
      <c r="S6" s="65"/>
      <c r="T6" t="s">
        <v>558</v>
      </c>
    </row>
    <row r="7" spans="1:20" s="148" customFormat="1">
      <c r="A7" s="147">
        <v>41</v>
      </c>
      <c r="B7" s="148" t="s">
        <v>348</v>
      </c>
      <c r="C7" s="147">
        <v>374</v>
      </c>
      <c r="D7" s="148" t="s">
        <v>349</v>
      </c>
      <c r="E7" s="149">
        <v>67.83725618092636</v>
      </c>
      <c r="F7" s="150">
        <f>IF(E7&lt;='Small Dist Weight'!$AA$5,1+'Small Dist Weight'!$Y$5,IF(E7&gt;0,1+('Small Dist Weight'!$Y$5-(E7*('Small Dist Weight'!$Y$5/'Small Dist Weight'!$X$5))),""))</f>
        <v>1.8341541848788707</v>
      </c>
      <c r="G7" s="151">
        <f>IF(E7&lt;='Small Dist Weight'!$AA$5,1+'Small Dist Weight'!$Y$10,IF(AND(E7&gt;='Small Dist Weight'!$Z$10,E7&lt;'Small Dist Weight'!$X$10),1-'Small Dist Weight'!$AA$10+('Small Dist Weight'!$AA$11-(E7*'Small Dist Weight'!$AB$10)),IF(AND(E7&lt;'Small Dist Weight'!$Z$11,E7&lt;'Small Dist Weight'!$X$11),1+'Small Dist Weight'!$AA$10+('Small Dist Weight'!$AA$11-(E7*'Small Dist Weight'!$AB$11)),0)))</f>
        <v>1.7262312773183059</v>
      </c>
      <c r="H7" s="152">
        <f t="shared" si="1"/>
        <v>56.586731134019765</v>
      </c>
      <c r="I7" s="152">
        <f t="shared" si="2"/>
        <v>49.265537206043298</v>
      </c>
      <c r="J7" s="148">
        <f>IF(settings!$D$4=0,'Remote School Building Weight'!H7,'Remote School Building Weight'!I7)</f>
        <v>49.265537206043298</v>
      </c>
      <c r="K7" s="148">
        <f>IF(settings!$L$4=0,'Remote School Building Weight'!J7,0)</f>
        <v>49.265537206043298</v>
      </c>
      <c r="M7" s="148">
        <v>21</v>
      </c>
      <c r="N7" s="148" t="s">
        <v>16</v>
      </c>
      <c r="O7" s="148">
        <f t="shared" si="3"/>
        <v>147.67633997725136</v>
      </c>
      <c r="P7">
        <f>SUMIF($A$2:$A$46,M7,($E$2:$E$46))*'Front page'!$E$14</f>
        <v>0</v>
      </c>
      <c r="Q7">
        <f t="shared" si="0"/>
        <v>426.13990518659625</v>
      </c>
      <c r="R7">
        <f t="shared" si="4"/>
        <v>573.81624516384761</v>
      </c>
      <c r="S7" s="65">
        <v>0.25735824180976929</v>
      </c>
      <c r="T7" s="153">
        <f>AVERAGE(S2:S169)</f>
        <v>0.34044075392487844</v>
      </c>
    </row>
    <row r="8" spans="1:20">
      <c r="A8" s="60">
        <v>55</v>
      </c>
      <c r="B8" t="s">
        <v>350</v>
      </c>
      <c r="C8" s="60">
        <v>387</v>
      </c>
      <c r="D8" t="s">
        <v>351</v>
      </c>
      <c r="E8" s="23">
        <v>148.00269465735076</v>
      </c>
      <c r="F8" s="139">
        <f>IF(E8&lt;='Small Dist Weight'!$AA$5,1+'Small Dist Weight'!$Y$5,IF(E8&gt;0,1+('Small Dist Weight'!$Y$5-(E8*('Small Dist Weight'!$Y$5/'Small Dist Weight'!$X$5))),""))</f>
        <v>1.5790823351811567</v>
      </c>
      <c r="G8" s="144">
        <f>IF(E8&lt;='Small Dist Weight'!$AA$5,1+'Small Dist Weight'!$Y$10,IF(AND(E8&gt;='Small Dist Weight'!$Z$10,E8&lt;'Small Dist Weight'!$X$10),1-'Small Dist Weight'!$AA$10+('Small Dist Weight'!$AA$11-(E8*'Small Dist Weight'!$AB$10)),IF(AND(E8&lt;'Small Dist Weight'!$Z$11,E8&lt;'Small Dist Weight'!$X$11),1+'Small Dist Weight'!$AA$10+('Small Dist Weight'!$AA$11-(E8*'Small Dist Weight'!$AB$11)),0)))</f>
        <v>1.3436235027717349</v>
      </c>
      <c r="H8" s="142">
        <f t="shared" si="1"/>
        <v>85.705746035282388</v>
      </c>
      <c r="I8" s="146">
        <f t="shared" si="2"/>
        <v>50.857204357814403</v>
      </c>
      <c r="J8">
        <f>IF(settings!$D$4=0,'Remote School Building Weight'!H8,'Remote School Building Weight'!I8)</f>
        <v>50.857204357814403</v>
      </c>
      <c r="K8">
        <f>IF(settings!$L$4=0,'Remote School Building Weight'!J8,0)</f>
        <v>50.857204357814403</v>
      </c>
      <c r="M8">
        <v>25</v>
      </c>
      <c r="N8" t="s">
        <v>17</v>
      </c>
      <c r="O8">
        <f t="shared" si="3"/>
        <v>0</v>
      </c>
      <c r="P8">
        <f>SUMIF($A$2:$A$46,M8,($E$2:$E$46))*'Front page'!$E$14</f>
        <v>0</v>
      </c>
      <c r="Q8">
        <f t="shared" si="0"/>
        <v>0</v>
      </c>
      <c r="R8">
        <f t="shared" si="4"/>
        <v>0</v>
      </c>
      <c r="S8" s="65"/>
    </row>
    <row r="9" spans="1:20">
      <c r="A9" s="60">
        <v>61</v>
      </c>
      <c r="B9" t="s">
        <v>352</v>
      </c>
      <c r="C9" s="60">
        <v>197</v>
      </c>
      <c r="D9" t="s">
        <v>353</v>
      </c>
      <c r="E9" s="23">
        <v>236.22161154174344</v>
      </c>
      <c r="F9" s="139">
        <f>IF(E9&lt;='Small Dist Weight'!$AA$5,1+'Small Dist Weight'!$Y$5,IF(E9&gt;0,1+('Small Dist Weight'!$Y$5-(E9*('Small Dist Weight'!$Y$5/'Small Dist Weight'!$X$5))),""))</f>
        <v>1.298385781458089</v>
      </c>
      <c r="G9" s="144">
        <f>IF(E9&lt;='Small Dist Weight'!$AA$5,1+'Small Dist Weight'!$Y$10,IF(AND(E9&gt;='Small Dist Weight'!$Z$10,E9&lt;'Small Dist Weight'!$X$10),1-'Small Dist Weight'!$AA$10+('Small Dist Weight'!$AA$11-(E9*'Small Dist Weight'!$AB$10)),IF(AND(E9&lt;'Small Dist Weight'!$Z$11,E9&lt;'Small Dist Weight'!$X$11),1+'Small Dist Weight'!$AA$10+('Small Dist Weight'!$AA$11-(E9*'Small Dist Weight'!$AB$11)),0)))</f>
        <v>1.1491928907290445</v>
      </c>
      <c r="H9" s="142">
        <f t="shared" si="1"/>
        <v>70.485170157172263</v>
      </c>
      <c r="I9" s="146">
        <f t="shared" si="2"/>
        <v>35.242585078586131</v>
      </c>
      <c r="J9">
        <f>IF(settings!$D$4=0,'Remote School Building Weight'!H9,'Remote School Building Weight'!I9)</f>
        <v>35.242585078586131</v>
      </c>
      <c r="K9">
        <f>IF(settings!$L$4=0,'Remote School Building Weight'!J9,0)</f>
        <v>35.242585078586131</v>
      </c>
      <c r="M9">
        <v>33</v>
      </c>
      <c r="N9" t="s">
        <v>18</v>
      </c>
      <c r="O9">
        <f t="shared" si="3"/>
        <v>57.60704446880662</v>
      </c>
      <c r="P9">
        <f>SUMIF($A$2:$A$46,M9,($E$2:$E$46))*'Front page'!$E$14</f>
        <v>0</v>
      </c>
      <c r="Q9">
        <f t="shared" si="0"/>
        <v>519.25060178958745</v>
      </c>
      <c r="R9">
        <f t="shared" si="4"/>
        <v>576.85764625839408</v>
      </c>
      <c r="S9" s="65">
        <v>9.9863536251025911E-2</v>
      </c>
    </row>
    <row r="10" spans="1:20">
      <c r="A10" s="60">
        <v>61</v>
      </c>
      <c r="B10" s="59" t="s">
        <v>352</v>
      </c>
      <c r="C10" s="60">
        <v>395</v>
      </c>
      <c r="D10" t="s">
        <v>354</v>
      </c>
      <c r="E10" s="23">
        <v>390.6093195266273</v>
      </c>
      <c r="F10" s="139">
        <f>IF(E10&lt;='Small Dist Weight'!$AA$5,1+'Small Dist Weight'!$Y$5,IF(E10&gt;0,1+('Small Dist Weight'!$Y$5-(E10*('Small Dist Weight'!$Y$5/'Small Dist Weight'!$X$5))),""))</f>
        <v>0.8071521651425495</v>
      </c>
      <c r="G10" s="144">
        <f>IF(E10&lt;='Small Dist Weight'!$AA$5,1+'Small Dist Weight'!$Y$10,IF(AND(E10&gt;='Small Dist Weight'!$Z$10,E10&lt;'Small Dist Weight'!$X$10),1-'Small Dist Weight'!$AA$10+('Small Dist Weight'!$AA$11-(E10*'Small Dist Weight'!$AB$10)),IF(AND(E10&lt;'Small Dist Weight'!$Z$11,E10&lt;'Small Dist Weight'!$X$11),1+'Small Dist Weight'!$AA$10+('Small Dist Weight'!$AA$11-(E10*'Small Dist Weight'!$AB$11)),0)))</f>
        <v>0</v>
      </c>
      <c r="H10" s="142">
        <f t="shared" si="1"/>
        <v>0</v>
      </c>
      <c r="I10" s="146">
        <f t="shared" si="2"/>
        <v>0</v>
      </c>
      <c r="J10">
        <f>IF(settings!$D$4=0,'Remote School Building Weight'!H10,'Remote School Building Weight'!I10)</f>
        <v>0</v>
      </c>
      <c r="K10">
        <f>IF(settings!$L$4=0,'Remote School Building Weight'!J10,0)</f>
        <v>0</v>
      </c>
      <c r="M10">
        <v>41</v>
      </c>
      <c r="N10" t="s">
        <v>19</v>
      </c>
      <c r="O10">
        <f t="shared" si="3"/>
        <v>49.265537206043298</v>
      </c>
      <c r="P10">
        <f>SUMIF($A$2:$A$46,M10,($E$2:$E$46))*'Front page'!$E$14</f>
        <v>0</v>
      </c>
      <c r="Q10">
        <f t="shared" si="0"/>
        <v>67.83725618092636</v>
      </c>
      <c r="R10">
        <f t="shared" si="4"/>
        <v>117.10279338696967</v>
      </c>
      <c r="S10" s="65">
        <v>0.42070334772667517</v>
      </c>
      <c r="T10" s="63"/>
    </row>
    <row r="11" spans="1:20">
      <c r="A11" s="60">
        <v>71</v>
      </c>
      <c r="B11" t="s">
        <v>355</v>
      </c>
      <c r="C11" s="60">
        <v>398</v>
      </c>
      <c r="D11" t="s">
        <v>356</v>
      </c>
      <c r="E11" s="23">
        <v>5.1268965517241432</v>
      </c>
      <c r="F11" s="139">
        <f>IF(E11&lt;='Small Dist Weight'!$AA$5,1+'Small Dist Weight'!$Y$5,IF(E11&gt;0,1+('Small Dist Weight'!$Y$5-(E11*('Small Dist Weight'!$Y$5/'Small Dist Weight'!$X$5))),""))</f>
        <v>2.0499999999999998</v>
      </c>
      <c r="G11" s="144">
        <f>IF(E11&lt;='Small Dist Weight'!$AA$5,1+'Small Dist Weight'!$Y$10,IF(AND(E11&gt;='Small Dist Weight'!$Z$10,E11&lt;'Small Dist Weight'!$X$10),1-'Small Dist Weight'!$AA$10+('Small Dist Weight'!$AA$11-(E11*'Small Dist Weight'!$AB$10)),IF(AND(E11&lt;'Small Dist Weight'!$Z$11,E11&lt;'Small Dist Weight'!$X$11),1+'Small Dist Weight'!$AA$10+('Small Dist Weight'!$AA$11-(E11*'Small Dist Weight'!$AB$11)),0)))</f>
        <v>2.0499999999999998</v>
      </c>
      <c r="H11" s="142">
        <f t="shared" si="1"/>
        <v>5.3832413793103493</v>
      </c>
      <c r="I11" s="146">
        <f t="shared" si="2"/>
        <v>5.3832413793103493</v>
      </c>
      <c r="J11">
        <f>IF(settings!$D$4=0,'Remote School Building Weight'!H11,'Remote School Building Weight'!I11)</f>
        <v>5.3832413793103493</v>
      </c>
      <c r="K11">
        <f>IF(settings!$L$4=0,'Remote School Building Weight'!J11,0)</f>
        <v>5.3832413793103493</v>
      </c>
      <c r="M11">
        <v>44</v>
      </c>
      <c r="N11" t="s">
        <v>20</v>
      </c>
      <c r="O11">
        <f t="shared" si="3"/>
        <v>0</v>
      </c>
      <c r="P11">
        <f>SUMIF($A$2:$A$46,M11,($E$2:$E$46))*'Front page'!$E$14</f>
        <v>0</v>
      </c>
      <c r="Q11">
        <f t="shared" si="0"/>
        <v>0</v>
      </c>
      <c r="R11">
        <f t="shared" si="4"/>
        <v>0</v>
      </c>
      <c r="S11" s="65"/>
    </row>
    <row r="12" spans="1:20">
      <c r="A12" s="60">
        <v>83</v>
      </c>
      <c r="B12" t="s">
        <v>357</v>
      </c>
      <c r="C12" s="60">
        <v>406</v>
      </c>
      <c r="D12" t="s">
        <v>358</v>
      </c>
      <c r="E12" s="23">
        <v>43.984055126138614</v>
      </c>
      <c r="F12" s="139">
        <f>IF(E12&lt;='Small Dist Weight'!$AA$5,1+'Small Dist Weight'!$Y$5,IF(E12&gt;0,1+('Small Dist Weight'!$Y$5-(E12*('Small Dist Weight'!$Y$5/'Small Dist Weight'!$X$5))),""))</f>
        <v>1.9100507336895589</v>
      </c>
      <c r="G12" s="144">
        <f>IF(E12&lt;='Small Dist Weight'!$AA$5,1+'Small Dist Weight'!$Y$10,IF(AND(E12&gt;='Small Dist Weight'!$Z$10,E12&lt;'Small Dist Weight'!$X$10),1-'Small Dist Weight'!$AA$10+('Small Dist Weight'!$AA$11-(E12*'Small Dist Weight'!$AB$10)),IF(AND(E12&lt;'Small Dist Weight'!$Z$11,E12&lt;'Small Dist Weight'!$X$11),1+'Small Dist Weight'!$AA$10+('Small Dist Weight'!$AA$11-(E12*'Small Dist Weight'!$AB$11)),0)))</f>
        <v>1.8400761005343385</v>
      </c>
      <c r="H12" s="142">
        <f t="shared" si="1"/>
        <v>40.027721638184453</v>
      </c>
      <c r="I12" s="146">
        <f t="shared" si="2"/>
        <v>36.94995351605391</v>
      </c>
      <c r="J12">
        <f>IF(settings!$D$4=0,'Remote School Building Weight'!H12,'Remote School Building Weight'!I12)</f>
        <v>36.94995351605391</v>
      </c>
      <c r="K12">
        <f>IF(settings!$L$4=0,'Remote School Building Weight'!J12,0)</f>
        <v>36.94995351605391</v>
      </c>
      <c r="M12">
        <v>52</v>
      </c>
      <c r="N12" t="s">
        <v>21</v>
      </c>
      <c r="O12">
        <f t="shared" si="3"/>
        <v>0</v>
      </c>
      <c r="P12">
        <f>SUMIF($A$2:$A$46,M12,($E$2:$E$46))*'Front page'!$E$14</f>
        <v>0</v>
      </c>
      <c r="Q12">
        <f t="shared" si="0"/>
        <v>0</v>
      </c>
      <c r="R12">
        <f t="shared" si="4"/>
        <v>0</v>
      </c>
      <c r="S12" s="65"/>
    </row>
    <row r="13" spans="1:20">
      <c r="A13" s="60">
        <v>84</v>
      </c>
      <c r="B13" t="s">
        <v>359</v>
      </c>
      <c r="C13" s="60">
        <v>49</v>
      </c>
      <c r="D13" t="s">
        <v>360</v>
      </c>
      <c r="E13" s="23">
        <v>111.83437500000045</v>
      </c>
      <c r="F13" s="139">
        <f>IF(E13&lt;='Small Dist Weight'!$AA$5,1+'Small Dist Weight'!$Y$5,IF(E13&gt;0,1+('Small Dist Weight'!$Y$5-(E13*('Small Dist Weight'!$Y$5/'Small Dist Weight'!$X$5))),""))</f>
        <v>1.6941633522727257</v>
      </c>
      <c r="G13" s="144">
        <f>IF(E13&lt;='Small Dist Weight'!$AA$5,1+'Small Dist Weight'!$Y$10,IF(AND(E13&gt;='Small Dist Weight'!$Z$10,E13&lt;'Small Dist Weight'!$X$10),1-'Small Dist Weight'!$AA$10+('Small Dist Weight'!$AA$11-(E13*'Small Dist Weight'!$AB$10)),IF(AND(E13&lt;'Small Dist Weight'!$Z$11,E13&lt;'Small Dist Weight'!$X$11),1+'Small Dist Weight'!$AA$10+('Small Dist Weight'!$AA$11-(E13*'Small Dist Weight'!$AB$11)),0)))</f>
        <v>1.5162450284090889</v>
      </c>
      <c r="H13" s="142">
        <f t="shared" si="1"/>
        <v>77.631324649325421</v>
      </c>
      <c r="I13" s="146">
        <f t="shared" si="2"/>
        <v>57.733940098987937</v>
      </c>
      <c r="J13">
        <f>IF(settings!$D$4=0,'Remote School Building Weight'!H13,'Remote School Building Weight'!I13)</f>
        <v>57.733940098987937</v>
      </c>
      <c r="K13">
        <f>IF(settings!$L$4=0,'Remote School Building Weight'!J13,0)</f>
        <v>57.733940098987937</v>
      </c>
      <c r="M13">
        <v>55</v>
      </c>
      <c r="N13" t="s">
        <v>22</v>
      </c>
      <c r="O13">
        <f t="shared" si="3"/>
        <v>50.857204357814403</v>
      </c>
      <c r="P13">
        <f>SUMIF($A$2:$A$46,M13,($E$2:$E$46))*'Front page'!$E$14</f>
        <v>0</v>
      </c>
      <c r="Q13">
        <f t="shared" si="0"/>
        <v>148.00269465735076</v>
      </c>
      <c r="R13">
        <f t="shared" si="4"/>
        <v>198.85989901516515</v>
      </c>
      <c r="S13" s="65">
        <v>0.25574389109961282</v>
      </c>
    </row>
    <row r="14" spans="1:20">
      <c r="A14" s="60">
        <v>84</v>
      </c>
      <c r="B14" t="s">
        <v>359</v>
      </c>
      <c r="C14" s="60">
        <v>401</v>
      </c>
      <c r="D14" t="s">
        <v>361</v>
      </c>
      <c r="E14" s="23">
        <v>98.843750000000043</v>
      </c>
      <c r="F14" s="139">
        <f>IF(E14&lt;='Small Dist Weight'!$AA$5,1+'Small Dist Weight'!$Y$5,IF(E14&gt;0,1+('Small Dist Weight'!$Y$5-(E14*('Small Dist Weight'!$Y$5/'Small Dist Weight'!$X$5))),""))</f>
        <v>1.735497159090909</v>
      </c>
      <c r="G14" s="144">
        <f>IF(E14&lt;='Small Dist Weight'!$AA$5,1+'Small Dist Weight'!$Y$10,IF(AND(E14&gt;='Small Dist Weight'!$Z$10,E14&lt;'Small Dist Weight'!$X$10),1-'Small Dist Weight'!$AA$10+('Small Dist Weight'!$AA$11-(E14*'Small Dist Weight'!$AB$10)),IF(AND(E14&lt;'Small Dist Weight'!$Z$11,E14&lt;'Small Dist Weight'!$X$11),1+'Small Dist Weight'!$AA$10+('Small Dist Weight'!$AA$11-(E14*'Small Dist Weight'!$AB$11)),0)))</f>
        <v>1.5782457386363635</v>
      </c>
      <c r="H14" s="142">
        <f t="shared" si="1"/>
        <v>72.699297318892064</v>
      </c>
      <c r="I14" s="146">
        <f t="shared" si="2"/>
        <v>57.155977228338081</v>
      </c>
      <c r="J14">
        <f>IF(settings!$D$4=0,'Remote School Building Weight'!H14,'Remote School Building Weight'!I14)</f>
        <v>57.155977228338081</v>
      </c>
      <c r="K14">
        <f>IF(settings!$L$4=0,'Remote School Building Weight'!J14,0)</f>
        <v>57.155977228338081</v>
      </c>
      <c r="M14">
        <v>58</v>
      </c>
      <c r="N14" t="s">
        <v>23</v>
      </c>
      <c r="O14">
        <f t="shared" si="3"/>
        <v>0</v>
      </c>
      <c r="P14">
        <f>SUMIF($A$2:$A$46,M14,($E$2:$E$46))*'Front page'!$E$14</f>
        <v>0</v>
      </c>
      <c r="Q14">
        <f t="shared" si="0"/>
        <v>0</v>
      </c>
      <c r="R14">
        <f t="shared" si="4"/>
        <v>0</v>
      </c>
      <c r="S14" s="65"/>
    </row>
    <row r="15" spans="1:20">
      <c r="A15" s="60">
        <v>101</v>
      </c>
      <c r="B15" t="s">
        <v>362</v>
      </c>
      <c r="C15" s="60">
        <v>434</v>
      </c>
      <c r="D15" t="s">
        <v>363</v>
      </c>
      <c r="E15" s="23">
        <v>139.410462985122</v>
      </c>
      <c r="F15" s="139">
        <f>IF(E15&lt;='Small Dist Weight'!$AA$5,1+'Small Dist Weight'!$Y$5,IF(E15&gt;0,1+('Small Dist Weight'!$Y$5-(E15*('Small Dist Weight'!$Y$5/'Small Dist Weight'!$X$5))),""))</f>
        <v>1.6064212541382483</v>
      </c>
      <c r="G15" s="144">
        <f>IF(E15&lt;='Small Dist Weight'!$AA$5,1+'Small Dist Weight'!$Y$10,IF(AND(E15&gt;='Small Dist Weight'!$Z$10,E15&lt;'Small Dist Weight'!$X$10),1-'Small Dist Weight'!$AA$10+('Small Dist Weight'!$AA$11-(E15*'Small Dist Weight'!$AB$10)),IF(AND(E15&lt;'Small Dist Weight'!$Z$11,E15&lt;'Small Dist Weight'!$X$11),1+'Small Dist Weight'!$AA$10+('Small Dist Weight'!$AA$11-(E15*'Small Dist Weight'!$AB$11)),0)))</f>
        <v>1.3846318812073721</v>
      </c>
      <c r="H15" s="142">
        <f t="shared" si="1"/>
        <v>84.54146780343153</v>
      </c>
      <c r="I15" s="146">
        <f t="shared" si="2"/>
        <v>53.621708637958193</v>
      </c>
      <c r="J15">
        <f>IF(settings!$D$4=0,'Remote School Building Weight'!H15,'Remote School Building Weight'!I15)</f>
        <v>53.621708637958193</v>
      </c>
      <c r="K15">
        <f>IF(settings!$L$4=0,'Remote School Building Weight'!J15,0)</f>
        <v>53.621708637958193</v>
      </c>
      <c r="M15">
        <v>59</v>
      </c>
      <c r="N15" t="s">
        <v>24</v>
      </c>
      <c r="O15">
        <f t="shared" si="3"/>
        <v>0</v>
      </c>
      <c r="P15">
        <f>SUMIF($A$2:$A$46,M15,($E$2:$E$46))*'Front page'!$E$14</f>
        <v>0</v>
      </c>
      <c r="Q15">
        <f t="shared" si="0"/>
        <v>0</v>
      </c>
      <c r="R15">
        <f t="shared" si="4"/>
        <v>0</v>
      </c>
      <c r="S15" s="65"/>
    </row>
    <row r="16" spans="1:20">
      <c r="A16" s="60">
        <v>111</v>
      </c>
      <c r="B16" t="s">
        <v>364</v>
      </c>
      <c r="C16" s="60">
        <v>438</v>
      </c>
      <c r="D16" t="s">
        <v>365</v>
      </c>
      <c r="E16" s="23">
        <v>29.282062327827646</v>
      </c>
      <c r="F16" s="139">
        <f>IF(E16&lt;='Small Dist Weight'!$AA$5,1+'Small Dist Weight'!$Y$5,IF(E16&gt;0,1+('Small Dist Weight'!$Y$5-(E16*('Small Dist Weight'!$Y$5/'Small Dist Weight'!$X$5))),""))</f>
        <v>2.0499999999999998</v>
      </c>
      <c r="G16" s="144">
        <f>IF(E16&lt;='Small Dist Weight'!$AA$5,1+'Small Dist Weight'!$Y$10,IF(AND(E16&gt;='Small Dist Weight'!$Z$10,E16&lt;'Small Dist Weight'!$X$10),1-'Small Dist Weight'!$AA$10+('Small Dist Weight'!$AA$11-(E16*'Small Dist Weight'!$AB$10)),IF(AND(E16&lt;'Small Dist Weight'!$Z$11,E16&lt;'Small Dist Weight'!$X$11),1+'Small Dist Weight'!$AA$10+('Small Dist Weight'!$AA$11-(E16*'Small Dist Weight'!$AB$11)),0)))</f>
        <v>2.0499999999999998</v>
      </c>
      <c r="H16" s="142">
        <f t="shared" si="1"/>
        <v>30.746165444219024</v>
      </c>
      <c r="I16" s="146">
        <f t="shared" si="2"/>
        <v>30.746165444219024</v>
      </c>
      <c r="J16">
        <f>IF(settings!$D$4=0,'Remote School Building Weight'!H16,'Remote School Building Weight'!I16)</f>
        <v>30.746165444219024</v>
      </c>
      <c r="K16">
        <f>IF(settings!$L$4=0,'Remote School Building Weight'!J16,0)</f>
        <v>30.746165444219024</v>
      </c>
      <c r="M16">
        <v>60</v>
      </c>
      <c r="N16" t="s">
        <v>25</v>
      </c>
      <c r="O16">
        <f t="shared" si="3"/>
        <v>0</v>
      </c>
      <c r="P16">
        <f>SUMIF($A$2:$A$46,M16,($E$2:$E$46))*'Front page'!$E$14</f>
        <v>0</v>
      </c>
      <c r="Q16">
        <f t="shared" si="0"/>
        <v>0</v>
      </c>
      <c r="R16">
        <f t="shared" si="4"/>
        <v>0</v>
      </c>
      <c r="S16" s="65"/>
    </row>
    <row r="17" spans="1:19">
      <c r="A17" s="60">
        <v>148</v>
      </c>
      <c r="B17" t="s">
        <v>366</v>
      </c>
      <c r="C17" s="60">
        <v>462</v>
      </c>
      <c r="D17" t="s">
        <v>367</v>
      </c>
      <c r="E17" s="23">
        <v>106.20750000000001</v>
      </c>
      <c r="F17" s="139">
        <f>IF(E17&lt;='Small Dist Weight'!$AA$5,1+'Small Dist Weight'!$Y$5,IF(E17&gt;0,1+('Small Dist Weight'!$Y$5-(E17*('Small Dist Weight'!$Y$5/'Small Dist Weight'!$X$5))),""))</f>
        <v>1.7120670454545455</v>
      </c>
      <c r="G17" s="144">
        <f>IF(E17&lt;='Small Dist Weight'!$AA$5,1+'Small Dist Weight'!$Y$10,IF(AND(E17&gt;='Small Dist Weight'!$Z$10,E17&lt;'Small Dist Weight'!$X$10),1-'Small Dist Weight'!$AA$10+('Small Dist Weight'!$AA$11-(E17*'Small Dist Weight'!$AB$10)),IF(AND(E17&lt;'Small Dist Weight'!$Z$11,E17&lt;'Small Dist Weight'!$X$11),1+'Small Dist Weight'!$AA$10+('Small Dist Weight'!$AA$11-(E17*'Small Dist Weight'!$AB$11)),0)))</f>
        <v>1.5431005681818182</v>
      </c>
      <c r="H17" s="142">
        <f t="shared" si="1"/>
        <v>75.626860730113648</v>
      </c>
      <c r="I17" s="146">
        <f t="shared" si="2"/>
        <v>57.681353595170457</v>
      </c>
      <c r="J17">
        <f>IF(settings!$D$4=0,'Remote School Building Weight'!H17,'Remote School Building Weight'!I17)</f>
        <v>57.681353595170457</v>
      </c>
      <c r="K17">
        <f>IF(settings!$L$4=0,'Remote School Building Weight'!J17,0)</f>
        <v>57.681353595170457</v>
      </c>
      <c r="M17">
        <v>61</v>
      </c>
      <c r="N17" t="s">
        <v>26</v>
      </c>
      <c r="O17">
        <f t="shared" si="3"/>
        <v>35.242585078586131</v>
      </c>
      <c r="P17">
        <f>SUMIF($A$2:$A$46,M17,($E$2:$E$46))*'Front page'!$E$14</f>
        <v>0</v>
      </c>
      <c r="Q17">
        <f t="shared" si="0"/>
        <v>626.83093106837077</v>
      </c>
      <c r="R17">
        <f t="shared" si="4"/>
        <v>662.07351614695688</v>
      </c>
      <c r="S17" s="65">
        <v>5.3230622006580193E-2</v>
      </c>
    </row>
    <row r="18" spans="1:19">
      <c r="A18" s="60">
        <v>151</v>
      </c>
      <c r="B18" t="s">
        <v>368</v>
      </c>
      <c r="C18" s="60">
        <v>82</v>
      </c>
      <c r="D18" t="s">
        <v>369</v>
      </c>
      <c r="E18" s="23">
        <v>226.50055188892952</v>
      </c>
      <c r="F18" s="139">
        <f>IF(E18&lt;='Small Dist Weight'!$AA$5,1+'Small Dist Weight'!$Y$5,IF(E18&gt;0,1+('Small Dist Weight'!$Y$5-(E18*('Small Dist Weight'!$Y$5/'Small Dist Weight'!$X$5))),""))</f>
        <v>1.3293164258079515</v>
      </c>
      <c r="G18" s="144">
        <f>IF(E18&lt;='Small Dist Weight'!$AA$5,1+'Small Dist Weight'!$Y$10,IF(AND(E18&gt;='Small Dist Weight'!$Z$10,E18&lt;'Small Dist Weight'!$X$10),1-'Small Dist Weight'!$AA$10+('Small Dist Weight'!$AA$11-(E18*'Small Dist Weight'!$AB$10)),IF(AND(E18&lt;'Small Dist Weight'!$Z$11,E18&lt;'Small Dist Weight'!$X$11),1+'Small Dist Weight'!$AA$10+('Small Dist Weight'!$AA$11-(E18*'Small Dist Weight'!$AB$11)),0)))</f>
        <v>1.164658212903976</v>
      </c>
      <c r="H18" s="142">
        <f t="shared" si="1"/>
        <v>74.590352191590725</v>
      </c>
      <c r="I18" s="146">
        <f t="shared" si="2"/>
        <v>37.295176095795412</v>
      </c>
      <c r="J18">
        <f>IF(settings!$D$4=0,'Remote School Building Weight'!H18,'Remote School Building Weight'!I18)</f>
        <v>37.295176095795412</v>
      </c>
      <c r="K18">
        <f>IF(settings!$L$4=0,'Remote School Building Weight'!J18,0)</f>
        <v>37.295176095795412</v>
      </c>
      <c r="M18">
        <v>71</v>
      </c>
      <c r="N18" t="s">
        <v>27</v>
      </c>
      <c r="O18">
        <f t="shared" si="3"/>
        <v>5.3832413793103493</v>
      </c>
      <c r="P18">
        <f>SUMIF($A$2:$A$46,M18,($E$2:$E$46))*'Front page'!$E$14</f>
        <v>0</v>
      </c>
      <c r="Q18">
        <f t="shared" si="0"/>
        <v>5.1268965517241432</v>
      </c>
      <c r="R18">
        <f t="shared" si="4"/>
        <v>10.510137931034492</v>
      </c>
      <c r="S18" s="65">
        <v>0.51219512195121941</v>
      </c>
    </row>
    <row r="19" spans="1:19">
      <c r="A19" s="60">
        <v>151</v>
      </c>
      <c r="B19" t="s">
        <v>368</v>
      </c>
      <c r="C19" s="60">
        <v>83</v>
      </c>
      <c r="D19" t="s">
        <v>370</v>
      </c>
      <c r="E19" s="23">
        <v>158.2779687191136</v>
      </c>
      <c r="F19" s="139">
        <f>IF(E19&lt;='Small Dist Weight'!$AA$5,1+'Small Dist Weight'!$Y$5,IF(E19&gt;0,1+('Small Dist Weight'!$Y$5-(E19*('Small Dist Weight'!$Y$5/'Small Dist Weight'!$X$5))),""))</f>
        <v>1.5463882813482748</v>
      </c>
      <c r="G19" s="144">
        <f>IF(E19&lt;='Small Dist Weight'!$AA$5,1+'Small Dist Weight'!$Y$10,IF(AND(E19&gt;='Small Dist Weight'!$Z$10,E19&lt;'Small Dist Weight'!$X$10),1-'Small Dist Weight'!$AA$10+('Small Dist Weight'!$AA$11-(E19*'Small Dist Weight'!$AB$10)),IF(AND(E19&lt;'Small Dist Weight'!$Z$11,E19&lt;'Small Dist Weight'!$X$11),1+'Small Dist Weight'!$AA$10+('Small Dist Weight'!$AA$11-(E19*'Small Dist Weight'!$AB$11)),0)))</f>
        <v>1.2945824220224122</v>
      </c>
      <c r="H19" s="142">
        <f t="shared" si="1"/>
        <v>86.481227303732481</v>
      </c>
      <c r="I19" s="146">
        <f t="shared" si="2"/>
        <v>46.625907378064085</v>
      </c>
      <c r="J19">
        <f>IF(settings!$D$4=0,'Remote School Building Weight'!H19,'Remote School Building Weight'!I19)</f>
        <v>46.625907378064085</v>
      </c>
      <c r="K19">
        <f>IF(settings!$L$4=0,'Remote School Building Weight'!J19,0)</f>
        <v>46.625907378064085</v>
      </c>
      <c r="M19">
        <v>72</v>
      </c>
      <c r="N19" t="s">
        <v>28</v>
      </c>
      <c r="O19">
        <f t="shared" si="3"/>
        <v>0</v>
      </c>
      <c r="P19">
        <f>SUMIF($A$2:$A$46,M19,($E$2:$E$46))*'Front page'!$E$14</f>
        <v>0</v>
      </c>
      <c r="Q19">
        <f t="shared" si="0"/>
        <v>0</v>
      </c>
      <c r="R19">
        <f t="shared" si="4"/>
        <v>0</v>
      </c>
      <c r="S19" s="65"/>
    </row>
    <row r="20" spans="1:19">
      <c r="A20" s="60">
        <v>151</v>
      </c>
      <c r="B20" t="s">
        <v>368</v>
      </c>
      <c r="C20" s="60">
        <v>468</v>
      </c>
      <c r="D20" t="s">
        <v>371</v>
      </c>
      <c r="E20" s="23">
        <v>9.3673882821711985</v>
      </c>
      <c r="F20" s="139">
        <f>IF(E20&lt;='Small Dist Weight'!$AA$5,1+'Small Dist Weight'!$Y$5,IF(E20&gt;0,1+('Small Dist Weight'!$Y$5-(E20*('Small Dist Weight'!$Y$5/'Small Dist Weight'!$X$5))),""))</f>
        <v>2.0499999999999998</v>
      </c>
      <c r="G20" s="144">
        <f>IF(E20&lt;='Small Dist Weight'!$AA$5,1+'Small Dist Weight'!$Y$10,IF(AND(E20&gt;='Small Dist Weight'!$Z$10,E20&lt;'Small Dist Weight'!$X$10),1-'Small Dist Weight'!$AA$10+('Small Dist Weight'!$AA$11-(E20*'Small Dist Weight'!$AB$10)),IF(AND(E20&lt;'Small Dist Weight'!$Z$11,E20&lt;'Small Dist Weight'!$X$11),1+'Small Dist Weight'!$AA$10+('Small Dist Weight'!$AA$11-(E20*'Small Dist Weight'!$AB$11)),0)))</f>
        <v>2.0499999999999998</v>
      </c>
      <c r="H20" s="142">
        <f t="shared" si="1"/>
        <v>9.8357576962797566</v>
      </c>
      <c r="I20" s="146">
        <f t="shared" si="2"/>
        <v>9.8357576962797566</v>
      </c>
      <c r="J20">
        <f>IF(settings!$D$4=0,'Remote School Building Weight'!H20,'Remote School Building Weight'!I20)</f>
        <v>9.8357576962797566</v>
      </c>
      <c r="K20">
        <f>IF(settings!$L$4=0,'Remote School Building Weight'!J20,0)</f>
        <v>9.8357576962797566</v>
      </c>
      <c r="M20">
        <v>73</v>
      </c>
      <c r="N20" t="s">
        <v>29</v>
      </c>
      <c r="O20">
        <f t="shared" si="3"/>
        <v>0</v>
      </c>
      <c r="P20">
        <f>SUMIF($A$2:$A$46,M20,($E$2:$E$46))*'Front page'!$E$14</f>
        <v>0</v>
      </c>
      <c r="Q20">
        <f t="shared" si="0"/>
        <v>0</v>
      </c>
      <c r="R20">
        <f t="shared" si="4"/>
        <v>0</v>
      </c>
      <c r="S20" s="65"/>
    </row>
    <row r="21" spans="1:19">
      <c r="A21" s="60">
        <v>151</v>
      </c>
      <c r="B21" t="s">
        <v>368</v>
      </c>
      <c r="C21" s="60">
        <v>471</v>
      </c>
      <c r="D21" t="s">
        <v>372</v>
      </c>
      <c r="E21" s="23">
        <v>175.87132751288206</v>
      </c>
      <c r="F21" s="139">
        <f>IF(E21&lt;='Small Dist Weight'!$AA$5,1+'Small Dist Weight'!$Y$5,IF(E21&gt;0,1+('Small Dist Weight'!$Y$5-(E21*('Small Dist Weight'!$Y$5/'Small Dist Weight'!$X$5))),""))</f>
        <v>1.4904094124590115</v>
      </c>
      <c r="G21" s="144">
        <f>IF(E21&lt;='Small Dist Weight'!$AA$5,1+'Small Dist Weight'!$Y$10,IF(AND(E21&gt;='Small Dist Weight'!$Z$10,E21&lt;'Small Dist Weight'!$X$10),1-'Small Dist Weight'!$AA$10+('Small Dist Weight'!$AA$11-(E21*'Small Dist Weight'!$AB$10)),IF(AND(E21&lt;'Small Dist Weight'!$Z$11,E21&lt;'Small Dist Weight'!$X$11),1+'Small Dist Weight'!$AA$10+('Small Dist Weight'!$AA$11-(E21*'Small Dist Weight'!$AB$11)),0)))</f>
        <v>1.245204706229506</v>
      </c>
      <c r="H21" s="142">
        <f t="shared" si="1"/>
        <v>86.248954393978877</v>
      </c>
      <c r="I21" s="146">
        <f t="shared" si="2"/>
        <v>43.124477196989474</v>
      </c>
      <c r="J21">
        <f>IF(settings!$D$4=0,'Remote School Building Weight'!H21,'Remote School Building Weight'!I21)</f>
        <v>43.124477196989474</v>
      </c>
      <c r="K21">
        <f>IF(settings!$L$4=0,'Remote School Building Weight'!J21,0)</f>
        <v>43.124477196989474</v>
      </c>
      <c r="M21">
        <v>83</v>
      </c>
      <c r="N21" t="s">
        <v>30</v>
      </c>
      <c r="O21">
        <f t="shared" si="3"/>
        <v>36.94995351605391</v>
      </c>
      <c r="P21">
        <f>SUMIF($A$2:$A$46,M21,($E$2:$E$46))*'Front page'!$E$14</f>
        <v>0</v>
      </c>
      <c r="Q21">
        <f t="shared" si="0"/>
        <v>43.984055126138614</v>
      </c>
      <c r="R21">
        <f t="shared" si="4"/>
        <v>80.934008642192524</v>
      </c>
      <c r="S21" s="65">
        <v>0.45654421591062966</v>
      </c>
    </row>
    <row r="22" spans="1:19">
      <c r="A22" s="60">
        <v>151</v>
      </c>
      <c r="B22" t="s">
        <v>368</v>
      </c>
      <c r="C22" s="60">
        <v>473</v>
      </c>
      <c r="D22" t="s">
        <v>373</v>
      </c>
      <c r="E22" s="23">
        <v>201.49155545419848</v>
      </c>
      <c r="F22" s="139">
        <f>IF(E22&lt;='Small Dist Weight'!$AA$5,1+'Small Dist Weight'!$Y$5,IF(E22&gt;0,1+('Small Dist Weight'!$Y$5-(E22*('Small Dist Weight'!$Y$5/'Small Dist Weight'!$X$5))),""))</f>
        <v>1.4088905053730048</v>
      </c>
      <c r="G22" s="144">
        <f>IF(E22&lt;='Small Dist Weight'!$AA$5,1+'Small Dist Weight'!$Y$10,IF(AND(E22&gt;='Small Dist Weight'!$Z$10,E22&lt;'Small Dist Weight'!$X$10),1-'Small Dist Weight'!$AA$10+('Small Dist Weight'!$AA$11-(E22*'Small Dist Weight'!$AB$10)),IF(AND(E22&lt;'Small Dist Weight'!$Z$11,E22&lt;'Small Dist Weight'!$X$11),1+'Small Dist Weight'!$AA$10+('Small Dist Weight'!$AA$11-(E22*'Small Dist Weight'!$AB$11)),0)))</f>
        <v>1.2044452526865026</v>
      </c>
      <c r="H22" s="142">
        <f t="shared" si="1"/>
        <v>82.387983938060032</v>
      </c>
      <c r="I22" s="146">
        <f t="shared" si="2"/>
        <v>41.193991969030058</v>
      </c>
      <c r="J22">
        <f>IF(settings!$D$4=0,'Remote School Building Weight'!H22,'Remote School Building Weight'!I22)</f>
        <v>41.193991969030058</v>
      </c>
      <c r="K22">
        <f>IF(settings!$L$4=0,'Remote School Building Weight'!J22,0)</f>
        <v>41.193991969030058</v>
      </c>
      <c r="M22">
        <v>84</v>
      </c>
      <c r="N22" t="s">
        <v>31</v>
      </c>
      <c r="O22">
        <f t="shared" si="3"/>
        <v>114.88991732732602</v>
      </c>
      <c r="P22">
        <f>SUMIF($A$2:$A$46,M22,($E$2:$E$46))*'Front page'!$E$14</f>
        <v>0</v>
      </c>
      <c r="Q22">
        <f t="shared" si="0"/>
        <v>210.67812500000048</v>
      </c>
      <c r="R22">
        <f t="shared" si="4"/>
        <v>325.56804232732651</v>
      </c>
      <c r="S22" s="65">
        <v>0.3528906477000453</v>
      </c>
    </row>
    <row r="23" spans="1:19">
      <c r="A23" s="60">
        <v>151</v>
      </c>
      <c r="B23" t="s">
        <v>368</v>
      </c>
      <c r="C23" s="60">
        <v>475</v>
      </c>
      <c r="D23" t="s">
        <v>374</v>
      </c>
      <c r="E23" s="23">
        <v>50.369230769230803</v>
      </c>
      <c r="F23" s="139">
        <f>IF(E23&lt;='Small Dist Weight'!$AA$5,1+'Small Dist Weight'!$Y$5,IF(E23&gt;0,1+('Small Dist Weight'!$Y$5-(E23*('Small Dist Weight'!$Y$5/'Small Dist Weight'!$X$5))),""))</f>
        <v>1.8897342657342657</v>
      </c>
      <c r="G23" s="144">
        <f>IF(E23&lt;='Small Dist Weight'!$AA$5,1+'Small Dist Weight'!$Y$10,IF(AND(E23&gt;='Small Dist Weight'!$Z$10,E23&lt;'Small Dist Weight'!$X$10),1-'Small Dist Weight'!$AA$10+('Small Dist Weight'!$AA$11-(E23*'Small Dist Weight'!$AB$10)),IF(AND(E23&lt;'Small Dist Weight'!$Z$11,E23&lt;'Small Dist Weight'!$X$11),1+'Small Dist Weight'!$AA$10+('Small Dist Weight'!$AA$11-(E23*'Small Dist Weight'!$AB$11)),0)))</f>
        <v>1.8096013986013983</v>
      </c>
      <c r="H23" s="142">
        <f t="shared" si="1"/>
        <v>44.815230554061351</v>
      </c>
      <c r="I23" s="146">
        <f t="shared" si="2"/>
        <v>40.778999677245849</v>
      </c>
      <c r="J23">
        <f>IF(settings!$D$4=0,'Remote School Building Weight'!H23,'Remote School Building Weight'!I23)</f>
        <v>40.778999677245849</v>
      </c>
      <c r="K23">
        <f>IF(settings!$L$4=0,'Remote School Building Weight'!J23,0)</f>
        <v>40.778999677245849</v>
      </c>
      <c r="M23">
        <v>91</v>
      </c>
      <c r="N23" t="s">
        <v>32</v>
      </c>
      <c r="O23">
        <f t="shared" si="3"/>
        <v>0</v>
      </c>
      <c r="P23">
        <f>SUMIF($A$2:$A$46,M23,($E$2:$E$46))*'Front page'!$E$14</f>
        <v>0</v>
      </c>
      <c r="Q23">
        <f t="shared" si="0"/>
        <v>0</v>
      </c>
      <c r="R23">
        <f t="shared" si="4"/>
        <v>0</v>
      </c>
      <c r="S23" s="65"/>
    </row>
    <row r="24" spans="1:19">
      <c r="A24" s="60">
        <v>171</v>
      </c>
      <c r="B24" t="s">
        <v>375</v>
      </c>
      <c r="C24" s="60">
        <v>87</v>
      </c>
      <c r="D24" t="s">
        <v>376</v>
      </c>
      <c r="E24" s="23">
        <v>120.2358620689653</v>
      </c>
      <c r="F24" s="139">
        <f>IF(E24&lt;='Small Dist Weight'!$AA$5,1+'Small Dist Weight'!$Y$5,IF(E24&gt;0,1+('Small Dist Weight'!$Y$5-(E24*('Small Dist Weight'!$Y$5/'Small Dist Weight'!$X$5))),""))</f>
        <v>1.6674313479623832</v>
      </c>
      <c r="G24" s="144">
        <f>IF(E24&lt;='Small Dist Weight'!$AA$5,1+'Small Dist Weight'!$Y$10,IF(AND(E24&gt;='Small Dist Weight'!$Z$10,E24&lt;'Small Dist Weight'!$X$10),1-'Small Dist Weight'!$AA$10+('Small Dist Weight'!$AA$11-(E24*'Small Dist Weight'!$AB$10)),IF(AND(E24&lt;'Small Dist Weight'!$Z$11,E24&lt;'Small Dist Weight'!$X$11),1+'Small Dist Weight'!$AA$10+('Small Dist Weight'!$AA$11-(E24*'Small Dist Weight'!$AB$11)),0)))</f>
        <v>1.4761470219435746</v>
      </c>
      <c r="H24" s="142">
        <f t="shared" si="1"/>
        <v>80.249183494108692</v>
      </c>
      <c r="I24" s="146">
        <f t="shared" si="2"/>
        <v>57.24994765495623</v>
      </c>
      <c r="J24">
        <f>IF(settings!$D$4=0,'Remote School Building Weight'!H24,'Remote School Building Weight'!I24)</f>
        <v>57.24994765495623</v>
      </c>
      <c r="K24">
        <f>IF(settings!$L$4=0,'Remote School Building Weight'!J24,0)</f>
        <v>57.24994765495623</v>
      </c>
      <c r="M24">
        <v>92</v>
      </c>
      <c r="N24" t="s">
        <v>33</v>
      </c>
      <c r="O24">
        <f t="shared" si="3"/>
        <v>0</v>
      </c>
      <c r="P24">
        <f>SUMIF($A$2:$A$46,M24,($E$2:$E$46))*'Front page'!$E$14</f>
        <v>0</v>
      </c>
      <c r="Q24">
        <f t="shared" si="0"/>
        <v>0</v>
      </c>
      <c r="R24">
        <f t="shared" si="4"/>
        <v>0</v>
      </c>
      <c r="S24" s="65"/>
    </row>
    <row r="25" spans="1:19">
      <c r="A25" s="60">
        <v>171</v>
      </c>
      <c r="B25" t="s">
        <v>375</v>
      </c>
      <c r="C25" s="60">
        <v>481</v>
      </c>
      <c r="D25" t="s">
        <v>377</v>
      </c>
      <c r="E25" s="23">
        <v>23.407142857142837</v>
      </c>
      <c r="F25" s="139">
        <f>IF(E25&lt;='Small Dist Weight'!$AA$5,1+'Small Dist Weight'!$Y$5,IF(E25&gt;0,1+('Small Dist Weight'!$Y$5-(E25*('Small Dist Weight'!$Y$5/'Small Dist Weight'!$X$5))),""))</f>
        <v>2.0499999999999998</v>
      </c>
      <c r="G25" s="144">
        <f>IF(E25&lt;='Small Dist Weight'!$AA$5,1+'Small Dist Weight'!$Y$10,IF(AND(E25&gt;='Small Dist Weight'!$Z$10,E25&lt;'Small Dist Weight'!$X$10),1-'Small Dist Weight'!$AA$10+('Small Dist Weight'!$AA$11-(E25*'Small Dist Weight'!$AB$10)),IF(AND(E25&lt;'Small Dist Weight'!$Z$11,E25&lt;'Small Dist Weight'!$X$11),1+'Small Dist Weight'!$AA$10+('Small Dist Weight'!$AA$11-(E25*'Small Dist Weight'!$AB$11)),0)))</f>
        <v>2.0499999999999998</v>
      </c>
      <c r="H25" s="142">
        <f t="shared" si="1"/>
        <v>24.577499999999976</v>
      </c>
      <c r="I25" s="146">
        <f t="shared" si="2"/>
        <v>24.577499999999976</v>
      </c>
      <c r="J25">
        <f>IF(settings!$D$4=0,'Remote School Building Weight'!H25,'Remote School Building Weight'!I25)</f>
        <v>24.577499999999976</v>
      </c>
      <c r="K25">
        <f>IF(settings!$L$4=0,'Remote School Building Weight'!J25,0)</f>
        <v>24.577499999999976</v>
      </c>
      <c r="M25">
        <v>93</v>
      </c>
      <c r="N25" t="s">
        <v>34</v>
      </c>
      <c r="O25">
        <f t="shared" si="3"/>
        <v>0</v>
      </c>
      <c r="P25">
        <f>SUMIF($A$2:$A$46,M25,($E$2:$E$46))*'Front page'!$E$14</f>
        <v>0</v>
      </c>
      <c r="Q25">
        <f t="shared" si="0"/>
        <v>0</v>
      </c>
      <c r="R25">
        <f t="shared" si="4"/>
        <v>0</v>
      </c>
      <c r="S25" s="65"/>
    </row>
    <row r="26" spans="1:19">
      <c r="A26" s="60">
        <v>171</v>
      </c>
      <c r="B26" t="s">
        <v>375</v>
      </c>
      <c r="C26" s="60">
        <v>482</v>
      </c>
      <c r="D26" t="s">
        <v>378</v>
      </c>
      <c r="E26" s="23">
        <v>14.116666666666621</v>
      </c>
      <c r="F26" s="139">
        <f>IF(E26&lt;='Small Dist Weight'!$AA$5,1+'Small Dist Weight'!$Y$5,IF(E26&gt;0,1+('Small Dist Weight'!$Y$5-(E26*('Small Dist Weight'!$Y$5/'Small Dist Weight'!$X$5))),""))</f>
        <v>2.0499999999999998</v>
      </c>
      <c r="G26" s="144">
        <f>IF(E26&lt;='Small Dist Weight'!$AA$5,1+'Small Dist Weight'!$Y$10,IF(AND(E26&gt;='Small Dist Weight'!$Z$10,E26&lt;'Small Dist Weight'!$X$10),1-'Small Dist Weight'!$AA$10+('Small Dist Weight'!$AA$11-(E26*'Small Dist Weight'!$AB$10)),IF(AND(E26&lt;'Small Dist Weight'!$Z$11,E26&lt;'Small Dist Weight'!$X$11),1+'Small Dist Weight'!$AA$10+('Small Dist Weight'!$AA$11-(E26*'Small Dist Weight'!$AB$11)),0)))</f>
        <v>2.0499999999999998</v>
      </c>
      <c r="H26" s="142">
        <f t="shared" si="1"/>
        <v>14.82249999999995</v>
      </c>
      <c r="I26" s="146">
        <f t="shared" si="2"/>
        <v>14.82249999999995</v>
      </c>
      <c r="J26">
        <f>IF(settings!$D$4=0,'Remote School Building Weight'!H26,'Remote School Building Weight'!I26)</f>
        <v>14.82249999999995</v>
      </c>
      <c r="K26">
        <f>IF(settings!$L$4=0,'Remote School Building Weight'!J26,0)</f>
        <v>14.82249999999995</v>
      </c>
      <c r="M26">
        <v>101</v>
      </c>
      <c r="N26" t="s">
        <v>35</v>
      </c>
      <c r="O26">
        <f t="shared" si="3"/>
        <v>53.621708637958193</v>
      </c>
      <c r="P26">
        <f>SUMIF($A$2:$A$46,M26,($E$2:$E$46))*'Front page'!$E$14</f>
        <v>0</v>
      </c>
      <c r="Q26">
        <f t="shared" si="0"/>
        <v>139.410462985122</v>
      </c>
      <c r="R26">
        <f t="shared" si="4"/>
        <v>193.03217162308019</v>
      </c>
      <c r="S26" s="65">
        <v>0.27778638237910613</v>
      </c>
    </row>
    <row r="27" spans="1:19">
      <c r="A27" s="60">
        <v>171</v>
      </c>
      <c r="B27" t="s">
        <v>375</v>
      </c>
      <c r="C27" s="60">
        <v>2520</v>
      </c>
      <c r="D27" t="s">
        <v>379</v>
      </c>
      <c r="E27" s="23">
        <v>94.130689655172446</v>
      </c>
      <c r="F27" s="139">
        <f>IF(E27&lt;='Small Dist Weight'!$AA$5,1+'Small Dist Weight'!$Y$5,IF(E27&gt;0,1+('Small Dist Weight'!$Y$5-(E27*('Small Dist Weight'!$Y$5/'Small Dist Weight'!$X$5))),""))</f>
        <v>1.7504932601880876</v>
      </c>
      <c r="G27" s="144">
        <f>IF(E27&lt;='Small Dist Weight'!$AA$5,1+'Small Dist Weight'!$Y$10,IF(AND(E27&gt;='Small Dist Weight'!$Z$10,E27&lt;'Small Dist Weight'!$X$10),1-'Small Dist Weight'!$AA$10+('Small Dist Weight'!$AA$11-(E27*'Small Dist Weight'!$AB$10)),IF(AND(E27&lt;'Small Dist Weight'!$Z$11,E27&lt;'Small Dist Weight'!$X$11),1+'Small Dist Weight'!$AA$10+('Small Dist Weight'!$AA$11-(E27*'Small Dist Weight'!$AB$11)),0)))</f>
        <v>1.6007398902821315</v>
      </c>
      <c r="H27" s="142">
        <f t="shared" si="1"/>
        <v>70.644448163063458</v>
      </c>
      <c r="I27" s="146">
        <f t="shared" si="2"/>
        <v>56.548060175629665</v>
      </c>
      <c r="J27">
        <f>IF(settings!$D$4=0,'Remote School Building Weight'!H27,'Remote School Building Weight'!I27)</f>
        <v>56.548060175629665</v>
      </c>
      <c r="K27">
        <f>IF(settings!$L$4=0,'Remote School Building Weight'!J27,0)</f>
        <v>56.548060175629665</v>
      </c>
      <c r="M27">
        <v>111</v>
      </c>
      <c r="N27" t="s">
        <v>36</v>
      </c>
      <c r="O27">
        <f t="shared" si="3"/>
        <v>30.746165444219024</v>
      </c>
      <c r="P27">
        <f>SUMIF($A$2:$A$46,M27,($E$2:$E$46))*'Front page'!$E$14</f>
        <v>0</v>
      </c>
      <c r="Q27">
        <f t="shared" si="0"/>
        <v>29.282062327827646</v>
      </c>
      <c r="R27">
        <f t="shared" si="4"/>
        <v>60.028227772046669</v>
      </c>
      <c r="S27" s="65">
        <v>0.51219512195121952</v>
      </c>
    </row>
    <row r="28" spans="1:19">
      <c r="A28" s="60">
        <v>181</v>
      </c>
      <c r="B28" t="s">
        <v>380</v>
      </c>
      <c r="C28" s="60">
        <v>486</v>
      </c>
      <c r="D28" t="s">
        <v>381</v>
      </c>
      <c r="E28" s="23">
        <v>10.724425491481485</v>
      </c>
      <c r="F28" s="139">
        <f>IF(E28&lt;='Small Dist Weight'!$AA$5,1+'Small Dist Weight'!$Y$5,IF(E28&gt;0,1+('Small Dist Weight'!$Y$5-(E28*('Small Dist Weight'!$Y$5/'Small Dist Weight'!$X$5))),""))</f>
        <v>2.0499999999999998</v>
      </c>
      <c r="G28" s="144">
        <f>IF(E28&lt;='Small Dist Weight'!$AA$5,1+'Small Dist Weight'!$Y$10,IF(AND(E28&gt;='Small Dist Weight'!$Z$10,E28&lt;'Small Dist Weight'!$X$10),1-'Small Dist Weight'!$AA$10+('Small Dist Weight'!$AA$11-(E28*'Small Dist Weight'!$AB$10)),IF(AND(E28&lt;'Small Dist Weight'!$Z$11,E28&lt;'Small Dist Weight'!$X$11),1+'Small Dist Weight'!$AA$10+('Small Dist Weight'!$AA$11-(E28*'Small Dist Weight'!$AB$11)),0)))</f>
        <v>2.0499999999999998</v>
      </c>
      <c r="H28" s="142">
        <f t="shared" si="1"/>
        <v>11.260646766055558</v>
      </c>
      <c r="I28" s="146">
        <f t="shared" si="2"/>
        <v>11.260646766055558</v>
      </c>
      <c r="J28">
        <f>IF(settings!$D$4=0,'Remote School Building Weight'!H28,'Remote School Building Weight'!I28)</f>
        <v>11.260646766055558</v>
      </c>
      <c r="K28">
        <f>IF(settings!$L$4=0,'Remote School Building Weight'!J28,0)</f>
        <v>11.260646766055558</v>
      </c>
      <c r="M28">
        <v>121</v>
      </c>
      <c r="N28" t="s">
        <v>37</v>
      </c>
      <c r="O28">
        <f t="shared" si="3"/>
        <v>0</v>
      </c>
      <c r="P28">
        <f>SUMIF($A$2:$A$46,M28,($E$2:$E$46))*'Front page'!$E$14</f>
        <v>0</v>
      </c>
      <c r="Q28">
        <f t="shared" si="0"/>
        <v>0</v>
      </c>
      <c r="R28">
        <f t="shared" si="4"/>
        <v>0</v>
      </c>
      <c r="S28" s="65"/>
    </row>
    <row r="29" spans="1:19">
      <c r="A29" s="60">
        <v>181</v>
      </c>
      <c r="B29" t="s">
        <v>380</v>
      </c>
      <c r="C29" s="60">
        <v>487</v>
      </c>
      <c r="D29" t="s">
        <v>382</v>
      </c>
      <c r="E29" s="23" t="e">
        <v>#N/A</v>
      </c>
      <c r="F29" s="139"/>
      <c r="G29" s="144"/>
      <c r="H29" s="142"/>
      <c r="I29" s="146"/>
      <c r="J29">
        <f>IF(settings!$D$4=0,'Remote School Building Weight'!H29,'Remote School Building Weight'!I29)</f>
        <v>0</v>
      </c>
      <c r="K29">
        <f>IF(settings!$L$4=0,'Remote School Building Weight'!J29,0)</f>
        <v>0</v>
      </c>
      <c r="M29">
        <v>131</v>
      </c>
      <c r="N29" t="s">
        <v>38</v>
      </c>
      <c r="O29">
        <f t="shared" si="3"/>
        <v>0</v>
      </c>
      <c r="P29">
        <f>SUMIF($A$2:$A$46,M29,($E$2:$E$46))*'Front page'!$E$14</f>
        <v>0</v>
      </c>
      <c r="Q29">
        <f t="shared" si="0"/>
        <v>0</v>
      </c>
      <c r="R29">
        <f t="shared" si="4"/>
        <v>0</v>
      </c>
      <c r="S29" s="65"/>
    </row>
    <row r="30" spans="1:19">
      <c r="A30" s="60">
        <v>193</v>
      </c>
      <c r="B30" t="s">
        <v>383</v>
      </c>
      <c r="C30" s="60">
        <v>517</v>
      </c>
      <c r="D30" t="s">
        <v>384</v>
      </c>
      <c r="E30" s="23">
        <v>3.4727449988276113</v>
      </c>
      <c r="F30" s="139">
        <f>IF(E30&lt;='Small Dist Weight'!$AA$5,1+'Small Dist Weight'!$Y$5,IF(E30&gt;0,1+('Small Dist Weight'!$Y$5-(E30*('Small Dist Weight'!$Y$5/'Small Dist Weight'!$X$5))),""))</f>
        <v>2.0499999999999998</v>
      </c>
      <c r="G30" s="144">
        <f>IF(E30&lt;='Small Dist Weight'!$AA$5,1+'Small Dist Weight'!$Y$10,IF(AND(E30&gt;='Small Dist Weight'!$Z$10,E30&lt;'Small Dist Weight'!$X$10),1-'Small Dist Weight'!$AA$10+('Small Dist Weight'!$AA$11-(E30*'Small Dist Weight'!$AB$10)),IF(AND(E30&lt;'Small Dist Weight'!$Z$11,E30&lt;'Small Dist Weight'!$X$11),1+'Small Dist Weight'!$AA$10+('Small Dist Weight'!$AA$11-(E30*'Small Dist Weight'!$AB$11)),0)))</f>
        <v>2.0499999999999998</v>
      </c>
      <c r="H30" s="142">
        <f>IF(F30&lt;1,0,$E30*(F30-1))</f>
        <v>3.6463822487689912</v>
      </c>
      <c r="I30" s="146">
        <f t="shared" si="2"/>
        <v>3.6463822487689912</v>
      </c>
      <c r="J30">
        <f>IF(settings!$D$4=0,'Remote School Building Weight'!H30,'Remote School Building Weight'!I30)</f>
        <v>3.6463822487689912</v>
      </c>
      <c r="K30">
        <f>IF(settings!$L$4=0,'Remote School Building Weight'!J30,0)</f>
        <v>3.6463822487689912</v>
      </c>
      <c r="M30">
        <v>132</v>
      </c>
      <c r="N30" t="s">
        <v>39</v>
      </c>
      <c r="O30">
        <f t="shared" si="3"/>
        <v>0</v>
      </c>
      <c r="P30">
        <f>SUMIF($A$2:$A$46,M30,($E$2:$E$46))*'Front page'!$E$14</f>
        <v>0</v>
      </c>
      <c r="Q30">
        <f t="shared" si="0"/>
        <v>0</v>
      </c>
      <c r="R30">
        <f t="shared" si="4"/>
        <v>0</v>
      </c>
      <c r="S30" s="65"/>
    </row>
    <row r="31" spans="1:19">
      <c r="A31" s="60">
        <v>215</v>
      </c>
      <c r="B31" t="s">
        <v>385</v>
      </c>
      <c r="C31" s="60">
        <v>100</v>
      </c>
      <c r="D31" t="s">
        <v>386</v>
      </c>
      <c r="E31" s="23">
        <v>319.60695266272188</v>
      </c>
      <c r="F31" s="139">
        <f>IF(E31&lt;='Small Dist Weight'!$AA$5,1+'Small Dist Weight'!$Y$5,IF(E31&gt;0,1+('Small Dist Weight'!$Y$5-(E31*('Small Dist Weight'!$Y$5/'Small Dist Weight'!$X$5))),""))</f>
        <v>1.0330687869822486</v>
      </c>
      <c r="G31" s="144">
        <f>IF(E31&lt;='Small Dist Weight'!$AA$5,1+'Small Dist Weight'!$Y$10,IF(AND(E31&gt;='Small Dist Weight'!$Z$10,E31&lt;'Small Dist Weight'!$X$10),1-'Small Dist Weight'!$AA$10+('Small Dist Weight'!$AA$11-(E31*'Small Dist Weight'!$AB$10)),IF(AND(E31&lt;'Small Dist Weight'!$Z$11,E31&lt;'Small Dist Weight'!$X$11),1+'Small Dist Weight'!$AA$10+('Small Dist Weight'!$AA$11-(E31*'Small Dist Weight'!$AB$11)),0)))</f>
        <v>1.0165343934911244</v>
      </c>
      <c r="H31" s="142">
        <f t="shared" si="1"/>
        <v>10.569014235649155</v>
      </c>
      <c r="I31" s="146">
        <f t="shared" si="2"/>
        <v>5.2845071178246128</v>
      </c>
      <c r="J31">
        <f>IF(settings!$D$4=0,'Remote School Building Weight'!H31,'Remote School Building Weight'!I31)</f>
        <v>5.2845071178246128</v>
      </c>
      <c r="K31">
        <f>IF(settings!$L$4=0,'Remote School Building Weight'!J31,0)</f>
        <v>5.2845071178246128</v>
      </c>
      <c r="M31">
        <v>133</v>
      </c>
      <c r="N31" t="s">
        <v>40</v>
      </c>
      <c r="O31">
        <f t="shared" si="3"/>
        <v>0</v>
      </c>
      <c r="P31">
        <f>SUMIF($A$2:$A$46,M31,($E$2:$E$46))*'Front page'!$E$14</f>
        <v>0</v>
      </c>
      <c r="Q31">
        <f t="shared" si="0"/>
        <v>0</v>
      </c>
      <c r="R31">
        <f t="shared" si="4"/>
        <v>0</v>
      </c>
      <c r="S31" s="65"/>
    </row>
    <row r="32" spans="1:19">
      <c r="A32" s="60">
        <v>215</v>
      </c>
      <c r="B32" t="s">
        <v>385</v>
      </c>
      <c r="C32" s="60">
        <v>701</v>
      </c>
      <c r="D32" t="s">
        <v>387</v>
      </c>
      <c r="E32" s="23">
        <v>260.58448196848411</v>
      </c>
      <c r="F32" s="139">
        <f>IF(E32&lt;='Small Dist Weight'!$AA$5,1+'Small Dist Weight'!$Y$5,IF(E32&gt;0,1+('Small Dist Weight'!$Y$5-(E32*('Small Dist Weight'!$Y$5/'Small Dist Weight'!$X$5))),""))</f>
        <v>1.2208675573730052</v>
      </c>
      <c r="G32" s="144">
        <f>IF(E32&lt;='Small Dist Weight'!$AA$5,1+'Small Dist Weight'!$Y$10,IF(AND(E32&gt;='Small Dist Weight'!$Z$10,E32&lt;'Small Dist Weight'!$X$10),1-'Small Dist Weight'!$AA$10+('Small Dist Weight'!$AA$11-(E32*'Small Dist Weight'!$AB$10)),IF(AND(E32&lt;'Small Dist Weight'!$Z$11,E32&lt;'Small Dist Weight'!$X$11),1+'Small Dist Weight'!$AA$10+('Small Dist Weight'!$AA$11-(E32*'Small Dist Weight'!$AB$11)),0)))</f>
        <v>1.1104337786865026</v>
      </c>
      <c r="H32" s="142">
        <f t="shared" si="1"/>
        <v>57.554658021689015</v>
      </c>
      <c r="I32" s="146">
        <f t="shared" si="2"/>
        <v>28.777329010844507</v>
      </c>
      <c r="J32">
        <f>IF(settings!$D$4=0,'Remote School Building Weight'!H32,'Remote School Building Weight'!I32)</f>
        <v>28.777329010844507</v>
      </c>
      <c r="K32">
        <f>IF(settings!$L$4=0,'Remote School Building Weight'!J32,0)</f>
        <v>28.777329010844507</v>
      </c>
      <c r="M32">
        <v>134</v>
      </c>
      <c r="N32" t="s">
        <v>41</v>
      </c>
      <c r="O32">
        <f t="shared" si="3"/>
        <v>0</v>
      </c>
      <c r="P32">
        <f>SUMIF($A$2:$A$46,M32,($E$2:$E$46))*'Front page'!$E$14</f>
        <v>0</v>
      </c>
      <c r="Q32">
        <f t="shared" si="0"/>
        <v>0</v>
      </c>
      <c r="R32">
        <f t="shared" si="4"/>
        <v>0</v>
      </c>
      <c r="S32" s="65"/>
    </row>
    <row r="33" spans="1:19">
      <c r="A33" s="60">
        <v>221</v>
      </c>
      <c r="B33" t="s">
        <v>388</v>
      </c>
      <c r="C33" s="60">
        <v>707</v>
      </c>
      <c r="D33" t="s">
        <v>389</v>
      </c>
      <c r="E33" s="23">
        <v>39.581831498821714</v>
      </c>
      <c r="F33" s="139">
        <f>IF(E33&lt;='Small Dist Weight'!$AA$5,1+'Small Dist Weight'!$Y$5,IF(E33&gt;0,1+('Small Dist Weight'!$Y$5-(E33*('Small Dist Weight'!$Y$5/'Small Dist Weight'!$X$5))),""))</f>
        <v>1.9240578088673854</v>
      </c>
      <c r="G33" s="144">
        <f>IF(E33&lt;='Small Dist Weight'!$AA$5,1+'Small Dist Weight'!$Y$10,IF(AND(E33&gt;='Small Dist Weight'!$Z$10,E33&lt;'Small Dist Weight'!$X$10),1-'Small Dist Weight'!$AA$10+('Small Dist Weight'!$AA$11-(E33*'Small Dist Weight'!$AB$10)),IF(AND(E33&lt;'Small Dist Weight'!$Z$11,E33&lt;'Small Dist Weight'!$X$11),1+'Small Dist Weight'!$AA$10+('Small Dist Weight'!$AA$11-(E33*'Small Dist Weight'!$AB$11)),0)))</f>
        <v>1.8610867133010782</v>
      </c>
      <c r="H33" s="142">
        <f t="shared" si="1"/>
        <v>36.575900485759249</v>
      </c>
      <c r="I33" s="146">
        <f t="shared" si="2"/>
        <v>34.083389191757483</v>
      </c>
      <c r="J33">
        <f>IF(settings!$D$4=0,'Remote School Building Weight'!H33,'Remote School Building Weight'!I33)</f>
        <v>34.083389191757483</v>
      </c>
      <c r="K33">
        <f>IF(settings!$L$4=0,'Remote School Building Weight'!J33,0)</f>
        <v>34.083389191757483</v>
      </c>
      <c r="M33">
        <v>135</v>
      </c>
      <c r="N33" t="s">
        <v>42</v>
      </c>
      <c r="O33">
        <f t="shared" si="3"/>
        <v>0</v>
      </c>
      <c r="P33">
        <f>SUMIF($A$2:$A$46,M33,($E$2:$E$46))*'Front page'!$E$14</f>
        <v>0</v>
      </c>
      <c r="Q33">
        <f t="shared" si="0"/>
        <v>0</v>
      </c>
      <c r="R33">
        <f t="shared" si="4"/>
        <v>0</v>
      </c>
      <c r="S33" s="65"/>
    </row>
    <row r="34" spans="1:19">
      <c r="A34" s="60">
        <v>221</v>
      </c>
      <c r="B34" t="s">
        <v>388</v>
      </c>
      <c r="C34" s="60">
        <v>710</v>
      </c>
      <c r="D34" t="s">
        <v>390</v>
      </c>
      <c r="E34" s="23">
        <v>22.717058823529456</v>
      </c>
      <c r="F34" s="139">
        <f>IF(E34&lt;='Small Dist Weight'!$AA$5,1+'Small Dist Weight'!$Y$5,IF(E34&gt;0,1+('Small Dist Weight'!$Y$5-(E34*('Small Dist Weight'!$Y$5/'Small Dist Weight'!$X$5))),""))</f>
        <v>2.0499999999999998</v>
      </c>
      <c r="G34" s="144">
        <f>IF(E34&lt;='Small Dist Weight'!$AA$5,1+'Small Dist Weight'!$Y$10,IF(AND(E34&gt;='Small Dist Weight'!$Z$10,E34&lt;'Small Dist Weight'!$X$10),1-'Small Dist Weight'!$AA$10+('Small Dist Weight'!$AA$11-(E34*'Small Dist Weight'!$AB$10)),IF(AND(E34&lt;'Small Dist Weight'!$Z$11,E34&lt;'Small Dist Weight'!$X$11),1+'Small Dist Weight'!$AA$10+('Small Dist Weight'!$AA$11-(E34*'Small Dist Weight'!$AB$11)),0)))</f>
        <v>2.0499999999999998</v>
      </c>
      <c r="H34" s="142">
        <f t="shared" si="1"/>
        <v>23.852911764705926</v>
      </c>
      <c r="I34" s="146">
        <f t="shared" si="2"/>
        <v>23.852911764705926</v>
      </c>
      <c r="J34">
        <f>IF(settings!$D$4=0,'Remote School Building Weight'!H34,'Remote School Building Weight'!I34)</f>
        <v>23.852911764705926</v>
      </c>
      <c r="K34">
        <f>IF(settings!$L$4=0,'Remote School Building Weight'!J34,0)</f>
        <v>23.852911764705926</v>
      </c>
      <c r="M34">
        <v>136</v>
      </c>
      <c r="N34" t="s">
        <v>43</v>
      </c>
      <c r="O34">
        <f t="shared" si="3"/>
        <v>0</v>
      </c>
      <c r="P34">
        <f>SUMIF($A$2:$A$46,M34,($E$2:$E$46))*'Front page'!$E$14</f>
        <v>0</v>
      </c>
      <c r="Q34">
        <f t="shared" si="0"/>
        <v>0</v>
      </c>
      <c r="R34">
        <f t="shared" si="4"/>
        <v>0</v>
      </c>
      <c r="S34" s="65"/>
    </row>
    <row r="35" spans="1:19">
      <c r="A35" s="60">
        <v>244</v>
      </c>
      <c r="B35" t="s">
        <v>391</v>
      </c>
      <c r="C35" s="60">
        <v>1283</v>
      </c>
      <c r="D35" t="s">
        <v>392</v>
      </c>
      <c r="E35" s="23">
        <v>188.36430722891566</v>
      </c>
      <c r="F35" s="139">
        <f>IF(E35&lt;='Small Dist Weight'!$AA$5,1+'Small Dist Weight'!$Y$5,IF(E35&gt;0,1+('Small Dist Weight'!$Y$5-(E35*('Small Dist Weight'!$Y$5/'Small Dist Weight'!$X$5))),""))</f>
        <v>1.4506590224534501</v>
      </c>
      <c r="G35" s="144">
        <f>IF(E35&lt;='Small Dist Weight'!$AA$5,1+'Small Dist Weight'!$Y$10,IF(AND(E35&gt;='Small Dist Weight'!$Z$10,E35&lt;'Small Dist Weight'!$X$10),1-'Small Dist Weight'!$AA$10+('Small Dist Weight'!$AA$11-(E35*'Small Dist Weight'!$AB$10)),IF(AND(E35&lt;'Small Dist Weight'!$Z$11,E35&lt;'Small Dist Weight'!$X$11),1+'Small Dist Weight'!$AA$10+('Small Dist Weight'!$AA$11-(E35*'Small Dist Weight'!$AB$11)),0)))</f>
        <v>1.2253295112267253</v>
      </c>
      <c r="H35" s="142">
        <f t="shared" si="1"/>
        <v>84.888074560904485</v>
      </c>
      <c r="I35" s="146">
        <f t="shared" si="2"/>
        <v>42.444037280452285</v>
      </c>
      <c r="J35">
        <f>IF(settings!$D$4=0,'Remote School Building Weight'!H35,'Remote School Building Weight'!I35)</f>
        <v>42.444037280452285</v>
      </c>
      <c r="K35">
        <f>IF(settings!$L$4=0,'Remote School Building Weight'!J35,0)</f>
        <v>42.444037280452285</v>
      </c>
      <c r="M35">
        <v>137</v>
      </c>
      <c r="N35" t="s">
        <v>44</v>
      </c>
      <c r="O35">
        <f t="shared" si="3"/>
        <v>0</v>
      </c>
      <c r="P35">
        <f>SUMIF($A$2:$A$46,M35,($E$2:$E$46))*'Front page'!$E$14</f>
        <v>0</v>
      </c>
      <c r="Q35">
        <f t="shared" si="0"/>
        <v>0</v>
      </c>
      <c r="R35">
        <f t="shared" si="4"/>
        <v>0</v>
      </c>
      <c r="S35" s="65"/>
    </row>
    <row r="36" spans="1:19">
      <c r="A36" s="60">
        <v>244</v>
      </c>
      <c r="B36" t="s">
        <v>391</v>
      </c>
      <c r="C36" s="60">
        <v>1285</v>
      </c>
      <c r="D36" t="s">
        <v>393</v>
      </c>
      <c r="E36" s="23">
        <v>226.30662650602443</v>
      </c>
      <c r="F36" s="139">
        <f>IF(E36&lt;='Small Dist Weight'!$AA$5,1+'Small Dist Weight'!$Y$5,IF(E36&gt;0,1+('Small Dist Weight'!$Y$5-(E36*('Small Dist Weight'!$Y$5/'Small Dist Weight'!$X$5))),""))</f>
        <v>1.3299334611171951</v>
      </c>
      <c r="G36" s="144">
        <f>IF(E36&lt;='Small Dist Weight'!$AA$5,1+'Small Dist Weight'!$Y$10,IF(AND(E36&gt;='Small Dist Weight'!$Z$10,E36&lt;'Small Dist Weight'!$X$10),1-'Small Dist Weight'!$AA$10+('Small Dist Weight'!$AA$11-(E36*'Small Dist Weight'!$AB$10)),IF(AND(E36&lt;'Small Dist Weight'!$Z$11,E36&lt;'Small Dist Weight'!$X$11),1+'Small Dist Weight'!$AA$10+('Small Dist Weight'!$AA$11-(E36*'Small Dist Weight'!$AB$11)),0)))</f>
        <v>1.1649667305585976</v>
      </c>
      <c r="H36" s="142">
        <f t="shared" si="1"/>
        <v>74.666128556889007</v>
      </c>
      <c r="I36" s="146">
        <f t="shared" si="2"/>
        <v>37.333064278444503</v>
      </c>
      <c r="J36">
        <f>IF(settings!$D$4=0,'Remote School Building Weight'!H36,'Remote School Building Weight'!I36)</f>
        <v>37.333064278444503</v>
      </c>
      <c r="K36">
        <f>IF(settings!$L$4=0,'Remote School Building Weight'!J36,0)</f>
        <v>37.333064278444503</v>
      </c>
      <c r="M36">
        <v>139</v>
      </c>
      <c r="N36" t="s">
        <v>45</v>
      </c>
      <c r="O36">
        <f t="shared" si="3"/>
        <v>0</v>
      </c>
      <c r="P36">
        <f>SUMIF($A$2:$A$46,M36,($E$2:$E$46))*'Front page'!$E$14</f>
        <v>0</v>
      </c>
      <c r="Q36">
        <f t="shared" si="0"/>
        <v>0</v>
      </c>
      <c r="R36">
        <f t="shared" si="4"/>
        <v>0</v>
      </c>
      <c r="S36" s="65"/>
    </row>
    <row r="37" spans="1:19">
      <c r="A37" s="60">
        <v>244</v>
      </c>
      <c r="B37" t="s">
        <v>391</v>
      </c>
      <c r="C37" s="60">
        <v>1287</v>
      </c>
      <c r="D37" t="s">
        <v>394</v>
      </c>
      <c r="E37" s="23">
        <v>4.8838815789473635</v>
      </c>
      <c r="F37" s="139">
        <f>IF(E37&lt;='Small Dist Weight'!$AA$5,1+'Small Dist Weight'!$Y$5,IF(E37&gt;0,1+('Small Dist Weight'!$Y$5-(E37*('Small Dist Weight'!$Y$5/'Small Dist Weight'!$X$5))),""))</f>
        <v>2.0499999999999998</v>
      </c>
      <c r="G37" s="144">
        <f>IF(E37&lt;='Small Dist Weight'!$AA$5,1+'Small Dist Weight'!$Y$10,IF(AND(E37&gt;='Small Dist Weight'!$Z$10,E37&lt;'Small Dist Weight'!$X$10),1-'Small Dist Weight'!$AA$10+('Small Dist Weight'!$AA$11-(E37*'Small Dist Weight'!$AB$10)),IF(AND(E37&lt;'Small Dist Weight'!$Z$11,E37&lt;'Small Dist Weight'!$X$11),1+'Small Dist Weight'!$AA$10+('Small Dist Weight'!$AA$11-(E37*'Small Dist Weight'!$AB$11)),0)))</f>
        <v>2.0499999999999998</v>
      </c>
      <c r="H37" s="142">
        <f t="shared" si="1"/>
        <v>5.1280756578947306</v>
      </c>
      <c r="I37" s="146">
        <f t="shared" si="2"/>
        <v>5.1280756578947306</v>
      </c>
      <c r="J37">
        <f>IF(settings!$D$4=0,'Remote School Building Weight'!H37,'Remote School Building Weight'!I37)</f>
        <v>5.1280756578947306</v>
      </c>
      <c r="K37">
        <f>IF(settings!$L$4=0,'Remote School Building Weight'!J37,0)</f>
        <v>5.1280756578947306</v>
      </c>
      <c r="M37">
        <v>148</v>
      </c>
      <c r="N37" t="s">
        <v>46</v>
      </c>
      <c r="O37">
        <f t="shared" si="3"/>
        <v>57.681353595170457</v>
      </c>
      <c r="P37">
        <f>SUMIF($A$2:$A$46,M37,($E$2:$E$46))*'Front page'!$E$14</f>
        <v>0</v>
      </c>
      <c r="Q37">
        <f t="shared" si="0"/>
        <v>106.20750000000001</v>
      </c>
      <c r="R37">
        <f t="shared" si="4"/>
        <v>163.88885359517047</v>
      </c>
      <c r="S37" s="65">
        <v>0.35195409773047692</v>
      </c>
    </row>
    <row r="38" spans="1:19">
      <c r="A38" s="60">
        <v>253</v>
      </c>
      <c r="B38" t="s">
        <v>395</v>
      </c>
      <c r="C38" s="60">
        <v>729</v>
      </c>
      <c r="D38" t="s">
        <v>396</v>
      </c>
      <c r="E38" s="23">
        <v>28.770714041940046</v>
      </c>
      <c r="F38" s="139">
        <f>IF(E38&lt;='Small Dist Weight'!$AA$5,1+'Small Dist Weight'!$Y$5,IF(E38&gt;0,1+('Small Dist Weight'!$Y$5-(E38*('Small Dist Weight'!$Y$5/'Small Dist Weight'!$X$5))),""))</f>
        <v>2.0499999999999998</v>
      </c>
      <c r="G38" s="144">
        <f>IF(E38&lt;='Small Dist Weight'!$AA$5,1+'Small Dist Weight'!$Y$10,IF(AND(E38&gt;='Small Dist Weight'!$Z$10,E38&lt;'Small Dist Weight'!$X$10),1-'Small Dist Weight'!$AA$10+('Small Dist Weight'!$AA$11-(E38*'Small Dist Weight'!$AB$10)),IF(AND(E38&lt;'Small Dist Weight'!$Z$11,E38&lt;'Small Dist Weight'!$X$11),1+'Small Dist Weight'!$AA$10+('Small Dist Weight'!$AA$11-(E38*'Small Dist Weight'!$AB$11)),0)))</f>
        <v>2.0499999999999998</v>
      </c>
      <c r="H38" s="142">
        <f t="shared" si="1"/>
        <v>30.209249744037042</v>
      </c>
      <c r="I38" s="146">
        <f t="shared" si="2"/>
        <v>30.209249744037042</v>
      </c>
      <c r="J38">
        <f>IF(settings!$D$4=0,'Remote School Building Weight'!H38,'Remote School Building Weight'!I38)</f>
        <v>30.209249744037042</v>
      </c>
      <c r="K38">
        <f>IF(settings!$L$4=0,'Remote School Building Weight'!J38,0)</f>
        <v>30.209249744037042</v>
      </c>
      <c r="M38">
        <v>149</v>
      </c>
      <c r="N38" t="s">
        <v>47</v>
      </c>
      <c r="O38">
        <f t="shared" si="3"/>
        <v>0</v>
      </c>
      <c r="P38">
        <f>SUMIF($A$2:$A$46,M38,($E$2:$E$46))*'Front page'!$E$14</f>
        <v>0</v>
      </c>
      <c r="Q38">
        <f t="shared" si="0"/>
        <v>0</v>
      </c>
      <c r="R38">
        <f t="shared" si="4"/>
        <v>0</v>
      </c>
      <c r="S38" s="65"/>
    </row>
    <row r="39" spans="1:19">
      <c r="A39" s="60">
        <v>272</v>
      </c>
      <c r="B39" t="s">
        <v>397</v>
      </c>
      <c r="C39" s="60">
        <v>747</v>
      </c>
      <c r="D39" t="s">
        <v>398</v>
      </c>
      <c r="E39" s="23">
        <v>348.20857988165659</v>
      </c>
      <c r="F39" s="139">
        <f>IF(E39&lt;='Small Dist Weight'!$AA$5,1+'Small Dist Weight'!$Y$5,IF(E39&gt;0,1+('Small Dist Weight'!$Y$5-(E39*('Small Dist Weight'!$Y$5/'Small Dist Weight'!$X$5))),""))</f>
        <v>0.94206360946745638</v>
      </c>
      <c r="G39" s="144">
        <f>IF(E39&lt;='Small Dist Weight'!$AA$5,1+'Small Dist Weight'!$Y$10,IF(AND(E39&gt;='Small Dist Weight'!$Z$10,E39&lt;'Small Dist Weight'!$X$10),1-'Small Dist Weight'!$AA$10+('Small Dist Weight'!$AA$11-(E39*'Small Dist Weight'!$AB$10)),IF(AND(E39&lt;'Small Dist Weight'!$Z$11,E39&lt;'Small Dist Weight'!$X$11),1+'Small Dist Weight'!$AA$10+('Small Dist Weight'!$AA$11-(E39*'Small Dist Weight'!$AB$11)),0)))</f>
        <v>0</v>
      </c>
      <c r="H39" s="142">
        <f t="shared" si="1"/>
        <v>0</v>
      </c>
      <c r="I39" s="146">
        <f t="shared" si="2"/>
        <v>0</v>
      </c>
      <c r="J39">
        <f>IF(settings!$D$4=0,'Remote School Building Weight'!H39,'Remote School Building Weight'!I39)</f>
        <v>0</v>
      </c>
      <c r="K39">
        <f>IF(settings!$L$4=0,'Remote School Building Weight'!J39,0)</f>
        <v>0</v>
      </c>
      <c r="M39">
        <v>150</v>
      </c>
      <c r="N39" t="s">
        <v>48</v>
      </c>
      <c r="O39">
        <f t="shared" si="3"/>
        <v>0</v>
      </c>
      <c r="P39">
        <f>SUMIF($A$2:$A$46,M39,($E$2:$E$46))*'Front page'!$E$14</f>
        <v>0</v>
      </c>
      <c r="Q39">
        <f t="shared" si="0"/>
        <v>0</v>
      </c>
      <c r="R39">
        <f t="shared" si="4"/>
        <v>0</v>
      </c>
      <c r="S39" s="65"/>
    </row>
    <row r="40" spans="1:19">
      <c r="A40" s="60">
        <v>288</v>
      </c>
      <c r="B40" t="s">
        <v>399</v>
      </c>
      <c r="C40" s="60">
        <v>771</v>
      </c>
      <c r="D40" t="s">
        <v>400</v>
      </c>
      <c r="E40" s="23">
        <v>67.365859559819938</v>
      </c>
      <c r="F40" s="139">
        <f>IF(E40&lt;='Small Dist Weight'!$AA$5,1+'Small Dist Weight'!$Y$5,IF(E40&gt;0,1+('Small Dist Weight'!$Y$5-(E40*('Small Dist Weight'!$Y$5/'Small Dist Weight'!$X$5))),""))</f>
        <v>1.8356540832187549</v>
      </c>
      <c r="G40" s="144">
        <f>IF(E40&lt;='Small Dist Weight'!$AA$5,1+'Small Dist Weight'!$Y$10,IF(AND(E40&gt;='Small Dist Weight'!$Z$10,E40&lt;'Small Dist Weight'!$X$10),1-'Small Dist Weight'!$AA$10+('Small Dist Weight'!$AA$11-(E40*'Small Dist Weight'!$AB$10)),IF(AND(E40&lt;'Small Dist Weight'!$Z$11,E40&lt;'Small Dist Weight'!$X$11),1+'Small Dist Weight'!$AA$10+('Small Dist Weight'!$AA$11-(E40*'Small Dist Weight'!$AB$11)),0)))</f>
        <v>1.7284811248281322</v>
      </c>
      <c r="H40" s="142">
        <f t="shared" si="1"/>
        <v>56.294555610704727</v>
      </c>
      <c r="I40" s="146">
        <f t="shared" si="2"/>
        <v>49.074757147151615</v>
      </c>
      <c r="J40">
        <f>IF(settings!$D$4=0,'Remote School Building Weight'!H40,'Remote School Building Weight'!I40)</f>
        <v>49.074757147151615</v>
      </c>
      <c r="K40">
        <f>IF(settings!$L$4=0,'Remote School Building Weight'!J40,0)</f>
        <v>49.074757147151615</v>
      </c>
      <c r="M40">
        <v>151</v>
      </c>
      <c r="N40" t="s">
        <v>49</v>
      </c>
      <c r="O40">
        <f t="shared" si="3"/>
        <v>218.85431001340464</v>
      </c>
      <c r="P40">
        <f>SUMIF($A$2:$A$46,M40,($E$2:$E$46))*'Front page'!$E$14</f>
        <v>0</v>
      </c>
      <c r="Q40">
        <f t="shared" si="0"/>
        <v>821.87802262652576</v>
      </c>
      <c r="R40">
        <f t="shared" si="4"/>
        <v>1040.7323326399305</v>
      </c>
      <c r="S40" s="65">
        <v>0.21028875835754707</v>
      </c>
    </row>
    <row r="41" spans="1:19">
      <c r="A41" s="60">
        <v>292</v>
      </c>
      <c r="B41" t="s">
        <v>401</v>
      </c>
      <c r="C41" s="60">
        <v>765</v>
      </c>
      <c r="D41" t="s">
        <v>402</v>
      </c>
      <c r="E41" s="23">
        <v>18.662431292729494</v>
      </c>
      <c r="F41" s="139">
        <f>IF(E41&lt;='Small Dist Weight'!$AA$5,1+'Small Dist Weight'!$Y$5,IF(E41&gt;0,1+('Small Dist Weight'!$Y$5-(E41*('Small Dist Weight'!$Y$5/'Small Dist Weight'!$X$5))),""))</f>
        <v>2.0499999999999998</v>
      </c>
      <c r="G41" s="144">
        <f>IF(E41&lt;='Small Dist Weight'!$AA$5,1+'Small Dist Weight'!$Y$10,IF(AND(E41&gt;='Small Dist Weight'!$Z$10,E41&lt;'Small Dist Weight'!$X$10),1-'Small Dist Weight'!$AA$10+('Small Dist Weight'!$AA$11-(E41*'Small Dist Weight'!$AB$10)),IF(AND(E41&lt;'Small Dist Weight'!$Z$11,E41&lt;'Small Dist Weight'!$X$11),1+'Small Dist Weight'!$AA$10+('Small Dist Weight'!$AA$11-(E41*'Small Dist Weight'!$AB$11)),0)))</f>
        <v>2.0499999999999998</v>
      </c>
      <c r="H41" s="142">
        <f t="shared" si="1"/>
        <v>19.595552857365966</v>
      </c>
      <c r="I41" s="146">
        <f t="shared" si="2"/>
        <v>19.595552857365966</v>
      </c>
      <c r="J41">
        <f>IF(settings!$D$4=0,'Remote School Building Weight'!H41,'Remote School Building Weight'!I41)</f>
        <v>19.595552857365966</v>
      </c>
      <c r="K41">
        <f>IF(settings!$L$4=0,'Remote School Building Weight'!J41,0)</f>
        <v>19.595552857365966</v>
      </c>
      <c r="M41">
        <v>161</v>
      </c>
      <c r="N41" t="s">
        <v>50</v>
      </c>
      <c r="O41">
        <f t="shared" si="3"/>
        <v>0</v>
      </c>
      <c r="P41">
        <f>SUMIF($A$2:$A$46,M41,($E$2:$E$46))*'Front page'!$E$14</f>
        <v>0</v>
      </c>
      <c r="Q41">
        <f t="shared" si="0"/>
        <v>0</v>
      </c>
      <c r="R41">
        <f t="shared" si="4"/>
        <v>0</v>
      </c>
      <c r="S41" s="65"/>
    </row>
    <row r="42" spans="1:19">
      <c r="A42" s="60">
        <v>351</v>
      </c>
      <c r="B42" t="s">
        <v>403</v>
      </c>
      <c r="C42" s="60">
        <v>797</v>
      </c>
      <c r="D42" t="s">
        <v>404</v>
      </c>
      <c r="E42" s="23">
        <v>12.40067796610167</v>
      </c>
      <c r="F42" s="139">
        <f>IF(E42&lt;='Small Dist Weight'!$AA$5,1+'Small Dist Weight'!$Y$5,IF(E42&gt;0,1+('Small Dist Weight'!$Y$5-(E42*('Small Dist Weight'!$Y$5/'Small Dist Weight'!$X$5))),""))</f>
        <v>2.0499999999999998</v>
      </c>
      <c r="G42" s="144">
        <f>IF(E42&lt;='Small Dist Weight'!$AA$5,1+'Small Dist Weight'!$Y$10,IF(AND(E42&gt;='Small Dist Weight'!$Z$10,E42&lt;'Small Dist Weight'!$X$10),1-'Small Dist Weight'!$AA$10+('Small Dist Weight'!$AA$11-(E42*'Small Dist Weight'!$AB$10)),IF(AND(E42&lt;'Small Dist Weight'!$Z$11,E42&lt;'Small Dist Weight'!$X$11),1+'Small Dist Weight'!$AA$10+('Small Dist Weight'!$AA$11-(E42*'Small Dist Weight'!$AB$11)),0)))</f>
        <v>2.0499999999999998</v>
      </c>
      <c r="H42" s="142">
        <f t="shared" si="1"/>
        <v>13.020711864406751</v>
      </c>
      <c r="I42" s="146">
        <f t="shared" si="2"/>
        <v>13.020711864406751</v>
      </c>
      <c r="J42">
        <f>IF(settings!$D$4=0,'Remote School Building Weight'!H42,'Remote School Building Weight'!I42)</f>
        <v>13.020711864406751</v>
      </c>
      <c r="K42">
        <f>IF(settings!$L$4=0,'Remote School Building Weight'!J42,0)</f>
        <v>13.020711864406751</v>
      </c>
      <c r="M42">
        <v>171</v>
      </c>
      <c r="N42" t="s">
        <v>51</v>
      </c>
      <c r="O42">
        <f t="shared" si="3"/>
        <v>153.19800783058582</v>
      </c>
      <c r="P42">
        <f>SUMIF($A$2:$A$46,M42,($E$2:$E$46))*'Front page'!$E$14</f>
        <v>0</v>
      </c>
      <c r="Q42">
        <f t="shared" si="0"/>
        <v>251.89036124794723</v>
      </c>
      <c r="R42">
        <f t="shared" si="4"/>
        <v>405.08836907853305</v>
      </c>
      <c r="S42" s="65">
        <v>0.37818416801022958</v>
      </c>
    </row>
    <row r="43" spans="1:19">
      <c r="A43" s="60">
        <v>365</v>
      </c>
      <c r="B43" t="s">
        <v>405</v>
      </c>
      <c r="C43" s="60">
        <v>801</v>
      </c>
      <c r="D43" t="s">
        <v>406</v>
      </c>
      <c r="E43" s="23">
        <v>55.356293706293684</v>
      </c>
      <c r="F43" s="139">
        <f>IF(E43&lt;='Small Dist Weight'!$AA$5,1+'Small Dist Weight'!$Y$5,IF(E43&gt;0,1+('Small Dist Weight'!$Y$5-(E43*('Small Dist Weight'!$Y$5/'Small Dist Weight'!$X$5))),""))</f>
        <v>1.8738663382072474</v>
      </c>
      <c r="G43" s="144">
        <f>IF(E43&lt;='Small Dist Weight'!$AA$5,1+'Small Dist Weight'!$Y$10,IF(AND(E43&gt;='Small Dist Weight'!$Z$10,E43&lt;'Small Dist Weight'!$X$10),1-'Small Dist Weight'!$AA$10+('Small Dist Weight'!$AA$11-(E43*'Small Dist Weight'!$AB$10)),IF(AND(E43&lt;'Small Dist Weight'!$Z$11,E43&lt;'Small Dist Weight'!$X$11),1+'Small Dist Weight'!$AA$10+('Small Dist Weight'!$AA$11-(E43*'Small Dist Weight'!$AB$11)),0)))</f>
        <v>1.785799507310871</v>
      </c>
      <c r="H43" s="142">
        <f t="shared" si="1"/>
        <v>48.374001677843758</v>
      </c>
      <c r="I43" s="146">
        <f t="shared" si="2"/>
        <v>43.498948320961446</v>
      </c>
      <c r="J43">
        <f>IF(settings!$D$4=0,'Remote School Building Weight'!H43,'Remote School Building Weight'!I43)</f>
        <v>43.498948320961446</v>
      </c>
      <c r="K43">
        <f>IF(settings!$L$4=0,'Remote School Building Weight'!J43,0)</f>
        <v>43.498948320961446</v>
      </c>
      <c r="M43">
        <v>181</v>
      </c>
      <c r="N43" t="s">
        <v>52</v>
      </c>
      <c r="O43">
        <f t="shared" si="3"/>
        <v>11.260646766055558</v>
      </c>
      <c r="P43">
        <f>E28*'Front page'!$E$14</f>
        <v>0</v>
      </c>
      <c r="Q43">
        <v>11</v>
      </c>
      <c r="R43">
        <f t="shared" si="4"/>
        <v>22.260646766055558</v>
      </c>
      <c r="S43" s="65"/>
    </row>
    <row r="44" spans="1:19">
      <c r="A44" s="60">
        <v>391</v>
      </c>
      <c r="B44" t="s">
        <v>407</v>
      </c>
      <c r="C44" s="60">
        <v>812</v>
      </c>
      <c r="D44" t="s">
        <v>408</v>
      </c>
      <c r="E44" s="23">
        <v>63.531213017751469</v>
      </c>
      <c r="F44" s="139">
        <f>IF(E44&lt;='Small Dist Weight'!$AA$5,1+'Small Dist Weight'!$Y$5,IF(E44&gt;0,1+('Small Dist Weight'!$Y$5-(E44*('Small Dist Weight'!$Y$5/'Small Dist Weight'!$X$5))),""))</f>
        <v>1.8478552313071543</v>
      </c>
      <c r="G44" s="144">
        <f>IF(E44&lt;='Small Dist Weight'!$AA$5,1+'Small Dist Weight'!$Y$10,IF(AND(E44&gt;='Small Dist Weight'!$Z$10,E44&lt;'Small Dist Weight'!$X$10),1-'Small Dist Weight'!$AA$10+('Small Dist Weight'!$AA$11-(E44*'Small Dist Weight'!$AB$10)),IF(AND(E44&lt;'Small Dist Weight'!$Z$11,E44&lt;'Small Dist Weight'!$X$11),1+'Small Dist Weight'!$AA$10+('Small Dist Weight'!$AA$11-(E44*'Small Dist Weight'!$AB$11)),0)))</f>
        <v>1.7467828469607316</v>
      </c>
      <c r="H44" s="142">
        <f t="shared" si="1"/>
        <v>53.865271308389765</v>
      </c>
      <c r="I44" s="146">
        <f t="shared" si="2"/>
        <v>47.444020128265137</v>
      </c>
      <c r="J44">
        <f>IF(settings!$D$4=0,'Remote School Building Weight'!H44,'Remote School Building Weight'!I44)</f>
        <v>47.444020128265137</v>
      </c>
      <c r="K44">
        <f>IF(settings!$L$4=0,'Remote School Building Weight'!J44,0)</f>
        <v>47.444020128265137</v>
      </c>
      <c r="M44">
        <v>182</v>
      </c>
      <c r="N44" t="s">
        <v>53</v>
      </c>
      <c r="O44">
        <f t="shared" si="3"/>
        <v>0</v>
      </c>
      <c r="P44">
        <f>SUMIF($A$2:$A$46,M44,($E$2:$E$46))*'Front page'!$E$14</f>
        <v>0</v>
      </c>
      <c r="Q44">
        <f t="shared" ref="Q44:Q66" si="5">SUMIF($A$2:$A$46,M44,$E$2:$E$46)</f>
        <v>0</v>
      </c>
      <c r="R44">
        <f t="shared" si="4"/>
        <v>0</v>
      </c>
      <c r="S44" s="65"/>
    </row>
    <row r="45" spans="1:19">
      <c r="A45" s="60">
        <v>413</v>
      </c>
      <c r="B45" t="s">
        <v>409</v>
      </c>
      <c r="C45" s="60">
        <v>832</v>
      </c>
      <c r="D45" t="s">
        <v>410</v>
      </c>
      <c r="E45" s="23">
        <v>57.782830513092719</v>
      </c>
      <c r="F45" s="139">
        <f>IF(E45&lt;='Small Dist Weight'!$AA$5,1+'Small Dist Weight'!$Y$5,IF(E45&gt;0,1+('Small Dist Weight'!$Y$5-(E45*('Small Dist Weight'!$Y$5/'Small Dist Weight'!$X$5))),""))</f>
        <v>1.8661455392765232</v>
      </c>
      <c r="G45" s="144">
        <f>IF(E45&lt;='Small Dist Weight'!$AA$5,1+'Small Dist Weight'!$Y$10,IF(AND(E45&gt;='Small Dist Weight'!$Z$10,E45&lt;'Small Dist Weight'!$X$10),1-'Small Dist Weight'!$AA$10+('Small Dist Weight'!$AA$11-(E45*'Small Dist Weight'!$AB$10)),IF(AND(E45&lt;'Small Dist Weight'!$Z$11,E45&lt;'Small Dist Weight'!$X$11),1+'Small Dist Weight'!$AA$10+('Small Dist Weight'!$AA$11-(E45*'Small Dist Weight'!$AB$11)),0)))</f>
        <v>1.7742183089147847</v>
      </c>
      <c r="H45" s="142">
        <f t="shared" si="1"/>
        <v>50.048340895686628</v>
      </c>
      <c r="I45" s="146">
        <f t="shared" si="2"/>
        <v>44.736525324156268</v>
      </c>
      <c r="J45">
        <f>IF(settings!$D$4=0,'Remote School Building Weight'!H45,'Remote School Building Weight'!I45)</f>
        <v>44.736525324156268</v>
      </c>
      <c r="K45">
        <f>IF(settings!$L$4=0,'Remote School Building Weight'!J45,0)</f>
        <v>44.736525324156268</v>
      </c>
      <c r="M45">
        <v>191</v>
      </c>
      <c r="N45" t="s">
        <v>54</v>
      </c>
      <c r="O45">
        <f t="shared" si="3"/>
        <v>0</v>
      </c>
      <c r="P45">
        <f>SUMIF($A$2:$A$46,M45,($E$2:$E$46))*'Front page'!$E$14</f>
        <v>0</v>
      </c>
      <c r="Q45">
        <f t="shared" si="5"/>
        <v>0</v>
      </c>
      <c r="R45">
        <f t="shared" si="4"/>
        <v>0</v>
      </c>
      <c r="S45" s="65"/>
    </row>
    <row r="46" spans="1:19">
      <c r="A46" s="60">
        <v>421</v>
      </c>
      <c r="B46" t="s">
        <v>411</v>
      </c>
      <c r="C46" s="60">
        <v>988</v>
      </c>
      <c r="D46" t="s">
        <v>412</v>
      </c>
      <c r="E46" s="23">
        <v>156.440808001422</v>
      </c>
      <c r="F46" s="139">
        <f>IF(E46&lt;='Small Dist Weight'!$AA$5,1+'Small Dist Weight'!$Y$5,IF(E46&gt;0,1+('Small Dist Weight'!$Y$5-(E46*('Small Dist Weight'!$Y$5/'Small Dist Weight'!$X$5))),""))</f>
        <v>1.5522337927227481</v>
      </c>
      <c r="G46" s="144">
        <f>IF(E46&lt;='Small Dist Weight'!$AA$5,1+'Small Dist Weight'!$Y$10,IF(AND(E46&gt;='Small Dist Weight'!$Z$10,E46&lt;'Small Dist Weight'!$X$10),1-'Small Dist Weight'!$AA$10+('Small Dist Weight'!$AA$11-(E46*'Small Dist Weight'!$AB$10)),IF(AND(E46&lt;'Small Dist Weight'!$Z$11,E46&lt;'Small Dist Weight'!$X$11),1+'Small Dist Weight'!$AA$10+('Small Dist Weight'!$AA$11-(E46*'Small Dist Weight'!$AB$11)),0)))</f>
        <v>1.3033506890841222</v>
      </c>
      <c r="H46" s="142">
        <f t="shared" si="1"/>
        <v>86.391900739236505</v>
      </c>
      <c r="I46" s="146">
        <f t="shared" si="2"/>
        <v>47.456426908108227</v>
      </c>
      <c r="J46">
        <f>IF(settings!$D$4=0,'Remote School Building Weight'!H46,'Remote School Building Weight'!I46)</f>
        <v>47.456426908108227</v>
      </c>
      <c r="K46">
        <f>IF(settings!$L$4=0,'Remote School Building Weight'!J46,0)</f>
        <v>47.456426908108227</v>
      </c>
      <c r="M46">
        <v>192</v>
      </c>
      <c r="N46" t="s">
        <v>55</v>
      </c>
      <c r="O46">
        <f t="shared" si="3"/>
        <v>0</v>
      </c>
      <c r="P46">
        <f>SUMIF($A$2:$A$46,M46,($E$2:$E$46))*'Front page'!$E$14</f>
        <v>0</v>
      </c>
      <c r="Q46">
        <f t="shared" si="5"/>
        <v>0</v>
      </c>
      <c r="R46">
        <f t="shared" si="4"/>
        <v>0</v>
      </c>
      <c r="S46" s="65"/>
    </row>
    <row r="47" spans="1:19">
      <c r="M47">
        <v>193</v>
      </c>
      <c r="N47" t="s">
        <v>56</v>
      </c>
      <c r="O47">
        <f t="shared" si="3"/>
        <v>3.6463822487689912</v>
      </c>
      <c r="P47">
        <f>SUMIF($A$2:$A$46,M47,($E$2:$E$46))*'Front page'!$E$14</f>
        <v>0</v>
      </c>
      <c r="Q47">
        <f t="shared" si="5"/>
        <v>3.4727449988276113</v>
      </c>
      <c r="R47">
        <f t="shared" si="4"/>
        <v>7.1191272475966025</v>
      </c>
      <c r="S47" s="65">
        <v>0.51219512195121941</v>
      </c>
    </row>
    <row r="48" spans="1:19">
      <c r="M48">
        <v>201</v>
      </c>
      <c r="N48" t="s">
        <v>57</v>
      </c>
      <c r="O48">
        <f t="shared" si="3"/>
        <v>0</v>
      </c>
      <c r="P48">
        <f>SUMIF($A$2:$A$46,M48,($E$2:$E$46))*'Front page'!$E$14</f>
        <v>0</v>
      </c>
      <c r="Q48">
        <f t="shared" si="5"/>
        <v>0</v>
      </c>
      <c r="R48">
        <f t="shared" si="4"/>
        <v>0</v>
      </c>
      <c r="S48" s="65"/>
    </row>
    <row r="49" spans="13:19">
      <c r="M49">
        <v>202</v>
      </c>
      <c r="N49" t="s">
        <v>58</v>
      </c>
      <c r="O49">
        <f t="shared" si="3"/>
        <v>0</v>
      </c>
      <c r="P49">
        <f>SUMIF($A$2:$A$46,M49,($E$2:$E$46))*'Front page'!$E$14</f>
        <v>0</v>
      </c>
      <c r="Q49">
        <f t="shared" si="5"/>
        <v>0</v>
      </c>
      <c r="R49">
        <f t="shared" si="4"/>
        <v>0</v>
      </c>
      <c r="S49" s="65"/>
    </row>
    <row r="50" spans="13:19">
      <c r="M50">
        <v>215</v>
      </c>
      <c r="N50" t="s">
        <v>59</v>
      </c>
      <c r="O50">
        <f t="shared" si="3"/>
        <v>34.061836128669121</v>
      </c>
      <c r="P50">
        <f>SUMIF($A$2:$A$46,M50,($E$2:$E$46))*'Front page'!$E$14</f>
        <v>0</v>
      </c>
      <c r="Q50">
        <f t="shared" si="5"/>
        <v>580.19143463120599</v>
      </c>
      <c r="R50">
        <f t="shared" si="4"/>
        <v>614.25327075987514</v>
      </c>
      <c r="S50" s="65">
        <v>5.5452429396968775E-2</v>
      </c>
    </row>
    <row r="51" spans="13:19">
      <c r="M51">
        <v>221</v>
      </c>
      <c r="N51" t="s">
        <v>60</v>
      </c>
      <c r="O51">
        <f t="shared" si="3"/>
        <v>57.936300956463413</v>
      </c>
      <c r="P51">
        <f>SUMIF($A$2:$A$46,M51,($E$2:$E$46))*'Front page'!$E$14</f>
        <v>0</v>
      </c>
      <c r="Q51">
        <f t="shared" si="5"/>
        <v>62.29889032235117</v>
      </c>
      <c r="R51">
        <f t="shared" si="4"/>
        <v>120.23519127881458</v>
      </c>
      <c r="S51" s="65">
        <v>0.48185810111213068</v>
      </c>
    </row>
    <row r="52" spans="13:19">
      <c r="M52">
        <v>231</v>
      </c>
      <c r="N52" t="s">
        <v>61</v>
      </c>
      <c r="O52">
        <f t="shared" si="3"/>
        <v>0</v>
      </c>
      <c r="P52">
        <f>SUMIF($A$2:$A$46,M52,($E$2:$E$46))*'Front page'!$E$14</f>
        <v>0</v>
      </c>
      <c r="Q52">
        <f t="shared" si="5"/>
        <v>0</v>
      </c>
      <c r="R52">
        <f t="shared" si="4"/>
        <v>0</v>
      </c>
      <c r="S52" s="65"/>
    </row>
    <row r="53" spans="13:19">
      <c r="M53">
        <v>232</v>
      </c>
      <c r="N53" t="s">
        <v>62</v>
      </c>
      <c r="O53">
        <f t="shared" si="3"/>
        <v>0</v>
      </c>
      <c r="P53">
        <f>SUMIF($A$2:$A$46,M53,($E$2:$E$46))*'Front page'!$E$14</f>
        <v>0</v>
      </c>
      <c r="Q53">
        <f t="shared" si="5"/>
        <v>0</v>
      </c>
      <c r="R53">
        <f t="shared" si="4"/>
        <v>0</v>
      </c>
      <c r="S53" s="65"/>
    </row>
    <row r="54" spans="13:19">
      <c r="M54">
        <v>233</v>
      </c>
      <c r="N54" t="s">
        <v>63</v>
      </c>
      <c r="O54">
        <f t="shared" si="3"/>
        <v>0</v>
      </c>
      <c r="P54">
        <f>SUMIF($A$2:$A$46,M54,($E$2:$E$46))*'Front page'!$E$14</f>
        <v>0</v>
      </c>
      <c r="Q54">
        <f t="shared" si="5"/>
        <v>0</v>
      </c>
      <c r="R54">
        <f t="shared" si="4"/>
        <v>0</v>
      </c>
      <c r="S54" s="65"/>
    </row>
    <row r="55" spans="13:19">
      <c r="M55">
        <v>234</v>
      </c>
      <c r="N55" t="s">
        <v>64</v>
      </c>
      <c r="O55">
        <f t="shared" si="3"/>
        <v>0</v>
      </c>
      <c r="P55">
        <f>SUMIF($A$2:$A$46,M55,($E$2:$E$46))*'Front page'!$E$14</f>
        <v>0</v>
      </c>
      <c r="Q55">
        <f t="shared" si="5"/>
        <v>0</v>
      </c>
      <c r="R55">
        <f t="shared" si="4"/>
        <v>0</v>
      </c>
      <c r="S55" s="65"/>
    </row>
    <row r="56" spans="13:19">
      <c r="M56">
        <v>242</v>
      </c>
      <c r="N56" t="s">
        <v>65</v>
      </c>
      <c r="O56">
        <f t="shared" si="3"/>
        <v>0</v>
      </c>
      <c r="P56">
        <f>SUMIF($A$2:$A$46,M56,($E$2:$E$46))*'Front page'!$E$14</f>
        <v>0</v>
      </c>
      <c r="Q56">
        <f t="shared" si="5"/>
        <v>0</v>
      </c>
      <c r="R56">
        <f t="shared" si="4"/>
        <v>0</v>
      </c>
      <c r="S56" s="65"/>
    </row>
    <row r="57" spans="13:19">
      <c r="M57">
        <v>243</v>
      </c>
      <c r="N57" t="s">
        <v>66</v>
      </c>
      <c r="O57">
        <f t="shared" si="3"/>
        <v>0</v>
      </c>
      <c r="P57">
        <f>SUMIF($A$2:$A$46,M57,($E$2:$E$46))*'Front page'!$E$14</f>
        <v>0</v>
      </c>
      <c r="Q57">
        <f t="shared" si="5"/>
        <v>0</v>
      </c>
      <c r="R57">
        <f t="shared" si="4"/>
        <v>0</v>
      </c>
      <c r="S57" s="65"/>
    </row>
    <row r="58" spans="13:19">
      <c r="M58">
        <v>244</v>
      </c>
      <c r="N58" t="s">
        <v>67</v>
      </c>
      <c r="O58">
        <f t="shared" si="3"/>
        <v>84.905177216791515</v>
      </c>
      <c r="P58">
        <f>SUMIF($A$2:$A$46,M58,($E$2:$E$46))*'Front page'!$E$14</f>
        <v>0</v>
      </c>
      <c r="Q58">
        <f t="shared" si="5"/>
        <v>419.55481531388745</v>
      </c>
      <c r="R58">
        <f t="shared" si="4"/>
        <v>504.45999253067896</v>
      </c>
      <c r="S58" s="65">
        <v>0.16830904030834115</v>
      </c>
    </row>
    <row r="59" spans="13:19">
      <c r="M59">
        <v>251</v>
      </c>
      <c r="N59" t="s">
        <v>68</v>
      </c>
      <c r="O59">
        <f t="shared" si="3"/>
        <v>0</v>
      </c>
      <c r="P59">
        <f>SUMIF($A$2:$A$46,M59,($E$2:$E$46))*'Front page'!$E$14</f>
        <v>0</v>
      </c>
      <c r="Q59">
        <f t="shared" si="5"/>
        <v>0</v>
      </c>
      <c r="R59">
        <f t="shared" si="4"/>
        <v>0</v>
      </c>
      <c r="S59" s="65"/>
    </row>
    <row r="60" spans="13:19">
      <c r="M60">
        <v>252</v>
      </c>
      <c r="N60" t="s">
        <v>69</v>
      </c>
      <c r="O60">
        <f t="shared" si="3"/>
        <v>0</v>
      </c>
      <c r="P60">
        <f>SUMIF($A$2:$A$46,M60,($E$2:$E$46))*'Front page'!$E$14</f>
        <v>0</v>
      </c>
      <c r="Q60">
        <f t="shared" si="5"/>
        <v>0</v>
      </c>
      <c r="R60">
        <f t="shared" si="4"/>
        <v>0</v>
      </c>
      <c r="S60" s="65"/>
    </row>
    <row r="61" spans="13:19">
      <c r="M61">
        <v>253</v>
      </c>
      <c r="N61" t="s">
        <v>70</v>
      </c>
      <c r="O61">
        <f t="shared" si="3"/>
        <v>30.209249744037042</v>
      </c>
      <c r="P61">
        <f>SUMIF($A$2:$A$46,M61,($E$2:$E$46))*'Front page'!$E$14</f>
        <v>0</v>
      </c>
      <c r="Q61">
        <f t="shared" si="5"/>
        <v>28.770714041940046</v>
      </c>
      <c r="R61">
        <f t="shared" si="4"/>
        <v>58.979963785977091</v>
      </c>
      <c r="S61" s="65">
        <v>0.51219512195121941</v>
      </c>
    </row>
    <row r="62" spans="13:19">
      <c r="M62">
        <v>261</v>
      </c>
      <c r="N62" t="s">
        <v>71</v>
      </c>
      <c r="O62">
        <f t="shared" si="3"/>
        <v>0</v>
      </c>
      <c r="P62">
        <f>SUMIF($A$2:$A$46,M62,($E$2:$E$46))*'Front page'!$E$14</f>
        <v>0</v>
      </c>
      <c r="Q62">
        <f t="shared" si="5"/>
        <v>0</v>
      </c>
      <c r="R62">
        <f t="shared" si="4"/>
        <v>0</v>
      </c>
      <c r="S62" s="65"/>
    </row>
    <row r="63" spans="13:19">
      <c r="M63">
        <v>262</v>
      </c>
      <c r="N63" t="s">
        <v>72</v>
      </c>
      <c r="O63">
        <f t="shared" si="3"/>
        <v>0</v>
      </c>
      <c r="P63">
        <f>SUMIF($A$2:$A$46,M63,($E$2:$E$46))*'Front page'!$E$14</f>
        <v>0</v>
      </c>
      <c r="Q63">
        <f t="shared" si="5"/>
        <v>0</v>
      </c>
      <c r="R63">
        <f t="shared" si="4"/>
        <v>0</v>
      </c>
      <c r="S63" s="65"/>
    </row>
    <row r="64" spans="13:19">
      <c r="M64">
        <v>271</v>
      </c>
      <c r="N64" t="s">
        <v>73</v>
      </c>
      <c r="O64">
        <f t="shared" si="3"/>
        <v>0</v>
      </c>
      <c r="P64">
        <f>SUMIF($A$2:$A$46,M64,($E$2:$E$46))*'Front page'!$E$14</f>
        <v>0</v>
      </c>
      <c r="Q64">
        <f t="shared" si="5"/>
        <v>0</v>
      </c>
      <c r="R64">
        <f t="shared" si="4"/>
        <v>0</v>
      </c>
      <c r="S64" s="65"/>
    </row>
    <row r="65" spans="13:19">
      <c r="M65">
        <v>272</v>
      </c>
      <c r="N65" t="s">
        <v>74</v>
      </c>
      <c r="O65">
        <f t="shared" si="3"/>
        <v>0</v>
      </c>
      <c r="P65">
        <f>SUMIF($A$2:$A$46,M65,($E$2:$E$46))*'Front page'!$E$14</f>
        <v>0</v>
      </c>
      <c r="Q65">
        <f t="shared" si="5"/>
        <v>348.20857988165659</v>
      </c>
      <c r="R65">
        <f t="shared" si="4"/>
        <v>348.20857988165659</v>
      </c>
      <c r="S65" s="65">
        <v>0</v>
      </c>
    </row>
    <row r="66" spans="13:19">
      <c r="M66">
        <v>273</v>
      </c>
      <c r="N66" t="s">
        <v>75</v>
      </c>
      <c r="O66">
        <f t="shared" si="3"/>
        <v>0</v>
      </c>
      <c r="P66">
        <f>SUMIF($A$2:$A$46,M66,($E$2:$E$46))*'Front page'!$E$14</f>
        <v>0</v>
      </c>
      <c r="Q66">
        <f t="shared" si="5"/>
        <v>0</v>
      </c>
      <c r="R66">
        <f t="shared" si="4"/>
        <v>0</v>
      </c>
      <c r="S66" s="65"/>
    </row>
    <row r="67" spans="13:19">
      <c r="M67">
        <v>274</v>
      </c>
      <c r="N67" t="s">
        <v>76</v>
      </c>
      <c r="O67">
        <f t="shared" ref="O67:O130" si="6">SUMIF($A$2:$A$46,M67,$K$2:$K$46)</f>
        <v>0</v>
      </c>
      <c r="P67">
        <f>SUMIF($A$2:$A$46,M67,($E$2:$E$46))*'Front page'!$E$14</f>
        <v>0</v>
      </c>
      <c r="Q67">
        <f t="shared" ref="Q67:Q130" si="7">SUMIF($A$2:$A$46,M67,$E$2:$E$46)</f>
        <v>0</v>
      </c>
      <c r="R67">
        <f t="shared" ref="R67:R130" si="8">O67+Q67</f>
        <v>0</v>
      </c>
      <c r="S67" s="65"/>
    </row>
    <row r="68" spans="13:19">
      <c r="M68">
        <v>281</v>
      </c>
      <c r="N68" t="s">
        <v>77</v>
      </c>
      <c r="O68">
        <f t="shared" si="6"/>
        <v>0</v>
      </c>
      <c r="P68">
        <f>SUMIF($A$2:$A$46,M68,($E$2:$E$46))*'Front page'!$E$14</f>
        <v>0</v>
      </c>
      <c r="Q68">
        <f t="shared" si="7"/>
        <v>0</v>
      </c>
      <c r="R68">
        <f t="shared" si="8"/>
        <v>0</v>
      </c>
      <c r="S68" s="65"/>
    </row>
    <row r="69" spans="13:19">
      <c r="M69">
        <v>282</v>
      </c>
      <c r="N69" t="s">
        <v>78</v>
      </c>
      <c r="O69">
        <f t="shared" si="6"/>
        <v>0</v>
      </c>
      <c r="P69">
        <f>SUMIF($A$2:$A$46,M69,($E$2:$E$46))*'Front page'!$E$14</f>
        <v>0</v>
      </c>
      <c r="Q69">
        <f t="shared" si="7"/>
        <v>0</v>
      </c>
      <c r="R69">
        <f t="shared" si="8"/>
        <v>0</v>
      </c>
      <c r="S69" s="65"/>
    </row>
    <row r="70" spans="13:19">
      <c r="M70">
        <v>283</v>
      </c>
      <c r="N70" t="s">
        <v>79</v>
      </c>
      <c r="O70">
        <f t="shared" si="6"/>
        <v>0</v>
      </c>
      <c r="P70">
        <f>SUMIF($A$2:$A$46,M70,($E$2:$E$46))*'Front page'!$E$14</f>
        <v>0</v>
      </c>
      <c r="Q70">
        <f t="shared" si="7"/>
        <v>0</v>
      </c>
      <c r="R70">
        <f t="shared" si="8"/>
        <v>0</v>
      </c>
      <c r="S70" s="65"/>
    </row>
    <row r="71" spans="13:19">
      <c r="M71">
        <v>285</v>
      </c>
      <c r="N71" t="s">
        <v>80</v>
      </c>
      <c r="O71">
        <f t="shared" si="6"/>
        <v>0</v>
      </c>
      <c r="P71">
        <f>SUMIF($A$2:$A$46,M71,($E$2:$E$46))*'Front page'!$E$14</f>
        <v>0</v>
      </c>
      <c r="Q71">
        <f t="shared" si="7"/>
        <v>0</v>
      </c>
      <c r="R71">
        <f t="shared" si="8"/>
        <v>0</v>
      </c>
      <c r="S71" s="65"/>
    </row>
    <row r="72" spans="13:19">
      <c r="M72">
        <v>287</v>
      </c>
      <c r="N72" t="s">
        <v>81</v>
      </c>
      <c r="O72">
        <f t="shared" si="6"/>
        <v>0</v>
      </c>
      <c r="P72">
        <f>SUMIF($A$2:$A$46,M72,($E$2:$E$46))*'Front page'!$E$14</f>
        <v>0</v>
      </c>
      <c r="Q72">
        <f t="shared" si="7"/>
        <v>0</v>
      </c>
      <c r="R72">
        <f t="shared" si="8"/>
        <v>0</v>
      </c>
      <c r="S72" s="65"/>
    </row>
    <row r="73" spans="13:19">
      <c r="M73">
        <v>288</v>
      </c>
      <c r="N73" t="s">
        <v>82</v>
      </c>
      <c r="O73">
        <f t="shared" si="6"/>
        <v>49.074757147151615</v>
      </c>
      <c r="P73">
        <f>SUMIF($A$2:$A$46,M73,($E$2:$E$46))*'Front page'!$E$14</f>
        <v>0</v>
      </c>
      <c r="Q73">
        <f t="shared" si="7"/>
        <v>67.365859559819938</v>
      </c>
      <c r="R73">
        <f t="shared" si="8"/>
        <v>116.44061670697155</v>
      </c>
      <c r="S73" s="65">
        <v>0.42145737917766801</v>
      </c>
    </row>
    <row r="74" spans="13:19">
      <c r="M74">
        <v>291</v>
      </c>
      <c r="N74" t="s">
        <v>83</v>
      </c>
      <c r="O74">
        <f t="shared" si="6"/>
        <v>0</v>
      </c>
      <c r="P74">
        <f>SUMIF($A$2:$A$46,M74,($E$2:$E$46))*'Front page'!$E$14</f>
        <v>0</v>
      </c>
      <c r="Q74">
        <f t="shared" si="7"/>
        <v>0</v>
      </c>
      <c r="R74">
        <f t="shared" si="8"/>
        <v>0</v>
      </c>
      <c r="S74" s="65"/>
    </row>
    <row r="75" spans="13:19">
      <c r="M75">
        <v>292</v>
      </c>
      <c r="N75" t="s">
        <v>84</v>
      </c>
      <c r="O75">
        <f t="shared" si="6"/>
        <v>19.595552857365966</v>
      </c>
      <c r="P75">
        <f>SUMIF($A$2:$A$46,M75,($E$2:$E$46))*'Front page'!$E$14</f>
        <v>0</v>
      </c>
      <c r="Q75">
        <f t="shared" si="7"/>
        <v>18.662431292729494</v>
      </c>
      <c r="R75">
        <f t="shared" si="8"/>
        <v>38.25798415009546</v>
      </c>
      <c r="S75" s="65">
        <v>0.51219512195121952</v>
      </c>
    </row>
    <row r="76" spans="13:19">
      <c r="M76">
        <v>302</v>
      </c>
      <c r="N76" t="s">
        <v>85</v>
      </c>
      <c r="O76">
        <f t="shared" si="6"/>
        <v>0</v>
      </c>
      <c r="P76">
        <f>SUMIF($A$2:$A$46,M76,($E$2:$E$46))*'Front page'!$E$14</f>
        <v>0</v>
      </c>
      <c r="Q76">
        <f t="shared" si="7"/>
        <v>0</v>
      </c>
      <c r="R76">
        <f t="shared" si="8"/>
        <v>0</v>
      </c>
      <c r="S76" s="65"/>
    </row>
    <row r="77" spans="13:19">
      <c r="M77">
        <v>304</v>
      </c>
      <c r="N77" t="s">
        <v>86</v>
      </c>
      <c r="O77">
        <f t="shared" si="6"/>
        <v>0</v>
      </c>
      <c r="P77">
        <f>SUMIF($A$2:$A$46,M77,($E$2:$E$46))*'Front page'!$E$14</f>
        <v>0</v>
      </c>
      <c r="Q77">
        <f t="shared" si="7"/>
        <v>0</v>
      </c>
      <c r="R77">
        <f t="shared" si="8"/>
        <v>0</v>
      </c>
      <c r="S77" s="65"/>
    </row>
    <row r="78" spans="13:19">
      <c r="M78">
        <v>305</v>
      </c>
      <c r="N78" t="s">
        <v>87</v>
      </c>
      <c r="O78">
        <f t="shared" si="6"/>
        <v>0</v>
      </c>
      <c r="P78">
        <f>SUMIF($A$2:$A$46,M78,($E$2:$E$46))*'Front page'!$E$14</f>
        <v>0</v>
      </c>
      <c r="Q78">
        <f t="shared" si="7"/>
        <v>0</v>
      </c>
      <c r="R78">
        <f t="shared" si="8"/>
        <v>0</v>
      </c>
      <c r="S78" s="65"/>
    </row>
    <row r="79" spans="13:19">
      <c r="M79">
        <v>312</v>
      </c>
      <c r="N79" t="s">
        <v>88</v>
      </c>
      <c r="O79">
        <f t="shared" si="6"/>
        <v>0</v>
      </c>
      <c r="P79">
        <f>SUMIF($A$2:$A$46,M79,($E$2:$E$46))*'Front page'!$E$14</f>
        <v>0</v>
      </c>
      <c r="Q79">
        <f t="shared" si="7"/>
        <v>0</v>
      </c>
      <c r="R79">
        <f t="shared" si="8"/>
        <v>0</v>
      </c>
      <c r="S79" s="65"/>
    </row>
    <row r="80" spans="13:19">
      <c r="M80">
        <v>314</v>
      </c>
      <c r="N80" t="s">
        <v>89</v>
      </c>
      <c r="O80">
        <f t="shared" si="6"/>
        <v>0</v>
      </c>
      <c r="P80">
        <f>SUMIF($A$2:$A$46,M80,($E$2:$E$46))*'Front page'!$E$14</f>
        <v>0</v>
      </c>
      <c r="Q80">
        <f t="shared" si="7"/>
        <v>0</v>
      </c>
      <c r="R80">
        <f t="shared" si="8"/>
        <v>0</v>
      </c>
      <c r="S80" s="65"/>
    </row>
    <row r="81" spans="13:19">
      <c r="M81">
        <v>316</v>
      </c>
      <c r="N81" t="s">
        <v>90</v>
      </c>
      <c r="O81">
        <f t="shared" si="6"/>
        <v>0</v>
      </c>
      <c r="P81">
        <f>SUMIF($A$2:$A$46,M81,($E$2:$E$46))*'Front page'!$E$14</f>
        <v>0</v>
      </c>
      <c r="Q81">
        <f t="shared" si="7"/>
        <v>0</v>
      </c>
      <c r="R81">
        <f t="shared" si="8"/>
        <v>0</v>
      </c>
      <c r="S81" s="65"/>
    </row>
    <row r="82" spans="13:19">
      <c r="M82">
        <v>321</v>
      </c>
      <c r="N82" t="s">
        <v>91</v>
      </c>
      <c r="O82">
        <f t="shared" si="6"/>
        <v>0</v>
      </c>
      <c r="P82">
        <f>SUMIF($A$2:$A$46,M82,($E$2:$E$46))*'Front page'!$E$14</f>
        <v>0</v>
      </c>
      <c r="Q82">
        <f t="shared" si="7"/>
        <v>0</v>
      </c>
      <c r="R82">
        <f t="shared" si="8"/>
        <v>0</v>
      </c>
      <c r="S82" s="65"/>
    </row>
    <row r="83" spans="13:19">
      <c r="M83">
        <v>322</v>
      </c>
      <c r="N83" t="s">
        <v>92</v>
      </c>
      <c r="O83">
        <f t="shared" si="6"/>
        <v>0</v>
      </c>
      <c r="P83">
        <f>SUMIF($A$2:$A$46,M83,($E$2:$E$46))*'Front page'!$E$14</f>
        <v>0</v>
      </c>
      <c r="Q83">
        <f t="shared" si="7"/>
        <v>0</v>
      </c>
      <c r="R83">
        <f t="shared" si="8"/>
        <v>0</v>
      </c>
      <c r="S83" s="65"/>
    </row>
    <row r="84" spans="13:19">
      <c r="M84">
        <v>331</v>
      </c>
      <c r="N84" t="s">
        <v>93</v>
      </c>
      <c r="O84">
        <f t="shared" si="6"/>
        <v>0</v>
      </c>
      <c r="P84">
        <f>SUMIF($A$2:$A$46,M84,($E$2:$E$46))*'Front page'!$E$14</f>
        <v>0</v>
      </c>
      <c r="Q84">
        <f t="shared" si="7"/>
        <v>0</v>
      </c>
      <c r="R84">
        <f t="shared" si="8"/>
        <v>0</v>
      </c>
      <c r="S84" s="65"/>
    </row>
    <row r="85" spans="13:19">
      <c r="M85">
        <v>340</v>
      </c>
      <c r="N85" t="s">
        <v>94</v>
      </c>
      <c r="O85">
        <f t="shared" si="6"/>
        <v>0</v>
      </c>
      <c r="P85">
        <f>SUMIF($A$2:$A$46,M85,($E$2:$E$46))*'Front page'!$E$14</f>
        <v>0</v>
      </c>
      <c r="Q85">
        <f t="shared" si="7"/>
        <v>0</v>
      </c>
      <c r="R85">
        <f t="shared" si="8"/>
        <v>0</v>
      </c>
      <c r="S85" s="65"/>
    </row>
    <row r="86" spans="13:19">
      <c r="M86">
        <v>341</v>
      </c>
      <c r="N86" t="s">
        <v>95</v>
      </c>
      <c r="O86">
        <f t="shared" si="6"/>
        <v>0</v>
      </c>
      <c r="P86">
        <f>SUMIF($A$2:$A$46,M86,($E$2:$E$46))*'Front page'!$E$14</f>
        <v>0</v>
      </c>
      <c r="Q86">
        <f t="shared" si="7"/>
        <v>0</v>
      </c>
      <c r="R86">
        <f t="shared" si="8"/>
        <v>0</v>
      </c>
      <c r="S86" s="65"/>
    </row>
    <row r="87" spans="13:19">
      <c r="M87">
        <v>342</v>
      </c>
      <c r="N87" t="s">
        <v>96</v>
      </c>
      <c r="O87">
        <f t="shared" si="6"/>
        <v>0</v>
      </c>
      <c r="P87">
        <f>SUMIF($A$2:$A$46,M87,($E$2:$E$46))*'Front page'!$E$14</f>
        <v>0</v>
      </c>
      <c r="Q87">
        <f t="shared" si="7"/>
        <v>0</v>
      </c>
      <c r="R87">
        <f t="shared" si="8"/>
        <v>0</v>
      </c>
      <c r="S87" s="65"/>
    </row>
    <row r="88" spans="13:19">
      <c r="M88">
        <v>351</v>
      </c>
      <c r="N88" t="s">
        <v>97</v>
      </c>
      <c r="O88">
        <f t="shared" si="6"/>
        <v>13.020711864406751</v>
      </c>
      <c r="P88">
        <f>SUMIF($A$2:$A$46,M88,($E$2:$E$46))*'Front page'!$E$14</f>
        <v>0</v>
      </c>
      <c r="Q88">
        <f t="shared" si="7"/>
        <v>12.40067796610167</v>
      </c>
      <c r="R88">
        <f t="shared" si="8"/>
        <v>25.421389830508421</v>
      </c>
      <c r="S88" s="65">
        <v>0.51219512195121952</v>
      </c>
    </row>
    <row r="89" spans="13:19">
      <c r="M89">
        <v>363</v>
      </c>
      <c r="N89" t="s">
        <v>98</v>
      </c>
      <c r="O89">
        <f t="shared" si="6"/>
        <v>0</v>
      </c>
      <c r="P89">
        <f>SUMIF($A$2:$A$46,M89,($E$2:$E$46))*'Front page'!$E$14</f>
        <v>0</v>
      </c>
      <c r="Q89">
        <f t="shared" si="7"/>
        <v>0</v>
      </c>
      <c r="R89">
        <f t="shared" si="8"/>
        <v>0</v>
      </c>
      <c r="S89" s="65"/>
    </row>
    <row r="90" spans="13:19">
      <c r="M90">
        <v>364</v>
      </c>
      <c r="N90" t="s">
        <v>99</v>
      </c>
      <c r="O90">
        <f t="shared" si="6"/>
        <v>0</v>
      </c>
      <c r="P90">
        <f>SUMIF($A$2:$A$46,M90,($E$2:$E$46))*'Front page'!$E$14</f>
        <v>0</v>
      </c>
      <c r="Q90">
        <f t="shared" si="7"/>
        <v>0</v>
      </c>
      <c r="R90">
        <f t="shared" si="8"/>
        <v>0</v>
      </c>
      <c r="S90" s="65"/>
    </row>
    <row r="91" spans="13:19">
      <c r="M91">
        <v>365</v>
      </c>
      <c r="N91" t="s">
        <v>100</v>
      </c>
      <c r="O91">
        <f t="shared" si="6"/>
        <v>43.498948320961446</v>
      </c>
      <c r="P91">
        <f>SUMIF($A$2:$A$46,M91,($E$2:$E$46))*'Front page'!$E$14</f>
        <v>0</v>
      </c>
      <c r="Q91">
        <f t="shared" si="7"/>
        <v>55.356293706293684</v>
      </c>
      <c r="R91">
        <f t="shared" si="8"/>
        <v>98.85524202725513</v>
      </c>
      <c r="S91" s="65">
        <v>0.4400267242173001</v>
      </c>
    </row>
    <row r="92" spans="13:19">
      <c r="M92">
        <v>370</v>
      </c>
      <c r="N92" t="s">
        <v>101</v>
      </c>
      <c r="O92">
        <f t="shared" si="6"/>
        <v>0</v>
      </c>
      <c r="P92">
        <f>SUMIF($A$2:$A$46,M92,($E$2:$E$46))*'Front page'!$E$14</f>
        <v>0</v>
      </c>
      <c r="Q92">
        <f t="shared" si="7"/>
        <v>0</v>
      </c>
      <c r="R92">
        <f t="shared" si="8"/>
        <v>0</v>
      </c>
      <c r="S92" s="65"/>
    </row>
    <row r="93" spans="13:19">
      <c r="M93">
        <v>371</v>
      </c>
      <c r="N93" t="s">
        <v>102</v>
      </c>
      <c r="O93">
        <f t="shared" si="6"/>
        <v>0</v>
      </c>
      <c r="P93">
        <f>SUMIF($A$2:$A$46,M93,($E$2:$E$46))*'Front page'!$E$14</f>
        <v>0</v>
      </c>
      <c r="Q93">
        <f t="shared" si="7"/>
        <v>0</v>
      </c>
      <c r="R93">
        <f t="shared" si="8"/>
        <v>0</v>
      </c>
      <c r="S93" s="65"/>
    </row>
    <row r="94" spans="13:19">
      <c r="M94">
        <v>372</v>
      </c>
      <c r="N94" t="s">
        <v>103</v>
      </c>
      <c r="O94">
        <f t="shared" si="6"/>
        <v>0</v>
      </c>
      <c r="P94">
        <f>SUMIF($A$2:$A$46,M94,($E$2:$E$46))*'Front page'!$E$14</f>
        <v>0</v>
      </c>
      <c r="Q94">
        <f t="shared" si="7"/>
        <v>0</v>
      </c>
      <c r="R94">
        <f t="shared" si="8"/>
        <v>0</v>
      </c>
      <c r="S94" s="65"/>
    </row>
    <row r="95" spans="13:19">
      <c r="M95">
        <v>373</v>
      </c>
      <c r="N95" t="s">
        <v>104</v>
      </c>
      <c r="O95">
        <f t="shared" si="6"/>
        <v>0</v>
      </c>
      <c r="P95">
        <f>SUMIF($A$2:$A$46,M95,($E$2:$E$46))*'Front page'!$E$14</f>
        <v>0</v>
      </c>
      <c r="Q95">
        <f t="shared" si="7"/>
        <v>0</v>
      </c>
      <c r="R95">
        <f t="shared" si="8"/>
        <v>0</v>
      </c>
      <c r="S95" s="65"/>
    </row>
    <row r="96" spans="13:19">
      <c r="M96">
        <v>381</v>
      </c>
      <c r="N96" t="s">
        <v>105</v>
      </c>
      <c r="O96">
        <f t="shared" si="6"/>
        <v>0</v>
      </c>
      <c r="P96">
        <f>SUMIF($A$2:$A$46,M96,($E$2:$E$46))*'Front page'!$E$14</f>
        <v>0</v>
      </c>
      <c r="Q96">
        <f t="shared" si="7"/>
        <v>0</v>
      </c>
      <c r="R96">
        <f t="shared" si="8"/>
        <v>0</v>
      </c>
      <c r="S96" s="65"/>
    </row>
    <row r="97" spans="13:19">
      <c r="M97">
        <v>382</v>
      </c>
      <c r="N97" t="s">
        <v>106</v>
      </c>
      <c r="O97">
        <f t="shared" si="6"/>
        <v>0</v>
      </c>
      <c r="P97">
        <f>SUMIF($A$2:$A$46,M97,($E$2:$E$46))*'Front page'!$E$14</f>
        <v>0</v>
      </c>
      <c r="Q97">
        <f t="shared" si="7"/>
        <v>0</v>
      </c>
      <c r="R97">
        <f t="shared" si="8"/>
        <v>0</v>
      </c>
      <c r="S97" s="65"/>
    </row>
    <row r="98" spans="13:19">
      <c r="M98">
        <v>383</v>
      </c>
      <c r="N98" t="s">
        <v>107</v>
      </c>
      <c r="O98">
        <f t="shared" si="6"/>
        <v>0</v>
      </c>
      <c r="P98">
        <f>SUMIF($A$2:$A$46,M98,($E$2:$E$46))*'Front page'!$E$14</f>
        <v>0</v>
      </c>
      <c r="Q98">
        <f t="shared" si="7"/>
        <v>0</v>
      </c>
      <c r="R98">
        <f t="shared" si="8"/>
        <v>0</v>
      </c>
      <c r="S98" s="65"/>
    </row>
    <row r="99" spans="13:19">
      <c r="M99">
        <v>391</v>
      </c>
      <c r="N99" t="s">
        <v>108</v>
      </c>
      <c r="O99">
        <f t="shared" si="6"/>
        <v>47.444020128265137</v>
      </c>
      <c r="P99">
        <f>SUMIF($A$2:$A$46,M99,($E$2:$E$46))*'Front page'!$E$14</f>
        <v>0</v>
      </c>
      <c r="Q99">
        <f t="shared" si="7"/>
        <v>63.531213017751469</v>
      </c>
      <c r="R99">
        <f t="shared" si="8"/>
        <v>110.97523314601661</v>
      </c>
      <c r="S99" s="65">
        <v>0.42751899485392625</v>
      </c>
    </row>
    <row r="100" spans="13:19">
      <c r="M100">
        <v>392</v>
      </c>
      <c r="N100" t="s">
        <v>109</v>
      </c>
      <c r="O100">
        <f t="shared" si="6"/>
        <v>0</v>
      </c>
      <c r="P100">
        <f>SUMIF($A$2:$A$46,M100,($E$2:$E$46))*'Front page'!$E$14</f>
        <v>0</v>
      </c>
      <c r="Q100">
        <f t="shared" si="7"/>
        <v>0</v>
      </c>
      <c r="R100">
        <f t="shared" si="8"/>
        <v>0</v>
      </c>
      <c r="S100" s="65"/>
    </row>
    <row r="101" spans="13:19">
      <c r="M101">
        <v>393</v>
      </c>
      <c r="N101" t="s">
        <v>110</v>
      </c>
      <c r="O101">
        <f t="shared" si="6"/>
        <v>0</v>
      </c>
      <c r="P101">
        <f>SUMIF($A$2:$A$46,M101,($E$2:$E$46))*'Front page'!$E$14</f>
        <v>0</v>
      </c>
      <c r="Q101">
        <f t="shared" si="7"/>
        <v>0</v>
      </c>
      <c r="R101">
        <f t="shared" si="8"/>
        <v>0</v>
      </c>
      <c r="S101" s="65"/>
    </row>
    <row r="102" spans="13:19">
      <c r="M102">
        <v>394</v>
      </c>
      <c r="N102" t="s">
        <v>111</v>
      </c>
      <c r="O102">
        <f t="shared" si="6"/>
        <v>0</v>
      </c>
      <c r="P102">
        <f>SUMIF($A$2:$A$46,M102,($E$2:$E$46))*'Front page'!$E$14</f>
        <v>0</v>
      </c>
      <c r="Q102">
        <f t="shared" si="7"/>
        <v>0</v>
      </c>
      <c r="R102">
        <f t="shared" si="8"/>
        <v>0</v>
      </c>
      <c r="S102" s="65"/>
    </row>
    <row r="103" spans="13:19">
      <c r="M103">
        <v>401</v>
      </c>
      <c r="N103" t="s">
        <v>112</v>
      </c>
      <c r="O103">
        <f t="shared" si="6"/>
        <v>0</v>
      </c>
      <c r="P103">
        <f>SUMIF($A$2:$A$46,M103,($E$2:$E$46))*'Front page'!$E$14</f>
        <v>0</v>
      </c>
      <c r="Q103">
        <f t="shared" si="7"/>
        <v>0</v>
      </c>
      <c r="R103">
        <f t="shared" si="8"/>
        <v>0</v>
      </c>
      <c r="S103" s="65"/>
    </row>
    <row r="104" spans="13:19">
      <c r="M104">
        <v>411</v>
      </c>
      <c r="N104" t="s">
        <v>113</v>
      </c>
      <c r="O104">
        <f t="shared" si="6"/>
        <v>0</v>
      </c>
      <c r="P104">
        <f>SUMIF($A$2:$A$46,M104,($E$2:$E$46))*'Front page'!$E$14</f>
        <v>0</v>
      </c>
      <c r="Q104">
        <f t="shared" si="7"/>
        <v>0</v>
      </c>
      <c r="R104">
        <f t="shared" si="8"/>
        <v>0</v>
      </c>
      <c r="S104" s="65"/>
    </row>
    <row r="105" spans="13:19">
      <c r="M105">
        <v>412</v>
      </c>
      <c r="N105" t="s">
        <v>114</v>
      </c>
      <c r="O105">
        <f t="shared" si="6"/>
        <v>0</v>
      </c>
      <c r="P105">
        <f>SUMIF($A$2:$A$46,M105,($E$2:$E$46))*'Front page'!$E$14</f>
        <v>0</v>
      </c>
      <c r="Q105">
        <f t="shared" si="7"/>
        <v>0</v>
      </c>
      <c r="R105">
        <f t="shared" si="8"/>
        <v>0</v>
      </c>
      <c r="S105" s="65"/>
    </row>
    <row r="106" spans="13:19">
      <c r="M106">
        <v>413</v>
      </c>
      <c r="N106" t="s">
        <v>115</v>
      </c>
      <c r="O106">
        <f t="shared" si="6"/>
        <v>44.736525324156268</v>
      </c>
      <c r="P106">
        <f>SUMIF($A$2:$A$46,M106,($E$2:$E$46))*'Front page'!$E$14</f>
        <v>0</v>
      </c>
      <c r="Q106">
        <f t="shared" si="7"/>
        <v>57.782830513092719</v>
      </c>
      <c r="R106">
        <f t="shared" si="8"/>
        <v>102.51935583724898</v>
      </c>
      <c r="S106" s="65">
        <v>0.43637150232563082</v>
      </c>
    </row>
    <row r="107" spans="13:19">
      <c r="M107">
        <v>414</v>
      </c>
      <c r="N107" t="s">
        <v>116</v>
      </c>
      <c r="O107">
        <f t="shared" si="6"/>
        <v>0</v>
      </c>
      <c r="P107">
        <f>SUMIF($A$2:$A$46,M107,($E$2:$E$46))*'Front page'!$E$14</f>
        <v>0</v>
      </c>
      <c r="Q107">
        <f t="shared" si="7"/>
        <v>0</v>
      </c>
      <c r="R107">
        <f t="shared" si="8"/>
        <v>0</v>
      </c>
      <c r="S107" s="65"/>
    </row>
    <row r="108" spans="13:19">
      <c r="M108">
        <v>415</v>
      </c>
      <c r="N108" t="s">
        <v>117</v>
      </c>
      <c r="O108">
        <f t="shared" si="6"/>
        <v>0</v>
      </c>
      <c r="P108">
        <f>SUMIF($A$2:$A$46,M108,($E$2:$E$46))*'Front page'!$E$14</f>
        <v>0</v>
      </c>
      <c r="Q108">
        <f t="shared" si="7"/>
        <v>0</v>
      </c>
      <c r="R108">
        <f t="shared" si="8"/>
        <v>0</v>
      </c>
      <c r="S108" s="65"/>
    </row>
    <row r="109" spans="13:19">
      <c r="M109">
        <v>416</v>
      </c>
      <c r="N109" t="s">
        <v>118</v>
      </c>
      <c r="O109">
        <f t="shared" si="6"/>
        <v>0</v>
      </c>
      <c r="P109">
        <f>SUMIF($A$2:$A$46,M109,($E$2:$E$46))*'Front page'!$E$14</f>
        <v>0</v>
      </c>
      <c r="Q109">
        <f t="shared" si="7"/>
        <v>0</v>
      </c>
      <c r="R109">
        <f t="shared" si="8"/>
        <v>0</v>
      </c>
      <c r="S109" s="65"/>
    </row>
    <row r="110" spans="13:19">
      <c r="M110">
        <v>417</v>
      </c>
      <c r="N110" t="s">
        <v>119</v>
      </c>
      <c r="O110">
        <f t="shared" si="6"/>
        <v>0</v>
      </c>
      <c r="P110">
        <f>SUMIF($A$2:$A$46,M110,($E$2:$E$46))*'Front page'!$E$14</f>
        <v>0</v>
      </c>
      <c r="Q110">
        <f t="shared" si="7"/>
        <v>0</v>
      </c>
      <c r="R110">
        <f t="shared" si="8"/>
        <v>0</v>
      </c>
      <c r="S110" s="65"/>
    </row>
    <row r="111" spans="13:19">
      <c r="M111">
        <v>418</v>
      </c>
      <c r="N111" t="s">
        <v>120</v>
      </c>
      <c r="O111">
        <f t="shared" si="6"/>
        <v>0</v>
      </c>
      <c r="P111">
        <f>SUMIF($A$2:$A$46,M111,($E$2:$E$46))*'Front page'!$E$14</f>
        <v>0</v>
      </c>
      <c r="Q111">
        <f t="shared" si="7"/>
        <v>0</v>
      </c>
      <c r="R111">
        <f t="shared" si="8"/>
        <v>0</v>
      </c>
      <c r="S111" s="65"/>
    </row>
    <row r="112" spans="13:19">
      <c r="M112">
        <v>421</v>
      </c>
      <c r="N112" t="s">
        <v>121</v>
      </c>
      <c r="O112">
        <f t="shared" si="6"/>
        <v>47.456426908108227</v>
      </c>
      <c r="P112">
        <f>SUMIF($A$2:$A$46,M112,($E$2:$E$46))*'Front page'!$E$14</f>
        <v>0</v>
      </c>
      <c r="Q112">
        <f t="shared" si="7"/>
        <v>156.440808001422</v>
      </c>
      <c r="R112">
        <f t="shared" si="8"/>
        <v>203.89723490953023</v>
      </c>
      <c r="S112" s="65">
        <v>0.23274678996586087</v>
      </c>
    </row>
    <row r="113" spans="13:19">
      <c r="M113">
        <v>422</v>
      </c>
      <c r="N113" t="s">
        <v>122</v>
      </c>
      <c r="O113">
        <f t="shared" si="6"/>
        <v>0</v>
      </c>
      <c r="P113">
        <f>SUMIF($A$2:$A$46,M113,($E$2:$E$46))*'Front page'!$E$14</f>
        <v>0</v>
      </c>
      <c r="Q113">
        <f t="shared" si="7"/>
        <v>0</v>
      </c>
      <c r="R113">
        <f t="shared" si="8"/>
        <v>0</v>
      </c>
      <c r="S113" s="65"/>
    </row>
    <row r="114" spans="13:19">
      <c r="M114">
        <v>431</v>
      </c>
      <c r="N114" t="s">
        <v>123</v>
      </c>
      <c r="O114">
        <f t="shared" si="6"/>
        <v>0</v>
      </c>
      <c r="P114">
        <f>SUMIF($A$2:$A$46,M114,($E$2:$E$46))*'Front page'!$E$14</f>
        <v>0</v>
      </c>
      <c r="Q114">
        <f t="shared" si="7"/>
        <v>0</v>
      </c>
      <c r="R114">
        <f t="shared" si="8"/>
        <v>0</v>
      </c>
      <c r="S114" s="65"/>
    </row>
    <row r="115" spans="13:19">
      <c r="M115">
        <v>432</v>
      </c>
      <c r="N115" t="s">
        <v>124</v>
      </c>
      <c r="O115">
        <f t="shared" si="6"/>
        <v>0</v>
      </c>
      <c r="P115">
        <f>SUMIF($A$2:$A$46,M115,($E$2:$E$46))*'Front page'!$E$14</f>
        <v>0</v>
      </c>
      <c r="Q115">
        <f t="shared" si="7"/>
        <v>0</v>
      </c>
      <c r="R115">
        <f t="shared" si="8"/>
        <v>0</v>
      </c>
      <c r="S115" s="65"/>
    </row>
    <row r="116" spans="13:19">
      <c r="M116">
        <v>433</v>
      </c>
      <c r="N116" t="s">
        <v>125</v>
      </c>
      <c r="O116">
        <f t="shared" si="6"/>
        <v>0</v>
      </c>
      <c r="P116">
        <f>SUMIF($A$2:$A$46,M116,($E$2:$E$46))*'Front page'!$E$14</f>
        <v>0</v>
      </c>
      <c r="Q116">
        <f t="shared" si="7"/>
        <v>0</v>
      </c>
      <c r="R116">
        <f t="shared" si="8"/>
        <v>0</v>
      </c>
      <c r="S116" s="65"/>
    </row>
    <row r="117" spans="13:19">
      <c r="M117">
        <v>451</v>
      </c>
      <c r="N117" t="s">
        <v>126</v>
      </c>
      <c r="O117">
        <f t="shared" si="6"/>
        <v>0</v>
      </c>
      <c r="P117">
        <f>SUMIF($A$2:$A$46,M117,($E$2:$E$46))*'Front page'!$E$14</f>
        <v>0</v>
      </c>
      <c r="Q117">
        <f t="shared" si="7"/>
        <v>0</v>
      </c>
      <c r="R117">
        <f t="shared" si="8"/>
        <v>0</v>
      </c>
      <c r="S117" s="65"/>
    </row>
    <row r="118" spans="13:19">
      <c r="M118">
        <v>452</v>
      </c>
      <c r="N118" t="s">
        <v>127</v>
      </c>
      <c r="O118">
        <f t="shared" si="6"/>
        <v>0</v>
      </c>
      <c r="P118">
        <f>SUMIF($A$2:$A$46,M118,($E$2:$E$46))*'Front page'!$E$14</f>
        <v>0</v>
      </c>
      <c r="Q118">
        <f t="shared" si="7"/>
        <v>0</v>
      </c>
      <c r="R118">
        <f t="shared" si="8"/>
        <v>0</v>
      </c>
      <c r="S118" s="65"/>
    </row>
    <row r="119" spans="13:19">
      <c r="M119">
        <v>453</v>
      </c>
      <c r="N119" t="s">
        <v>128</v>
      </c>
      <c r="O119">
        <f t="shared" si="6"/>
        <v>0</v>
      </c>
      <c r="P119">
        <f>SUMIF($A$2:$A$46,M119,($E$2:$E$46))*'Front page'!$E$14</f>
        <v>0</v>
      </c>
      <c r="Q119">
        <f t="shared" si="7"/>
        <v>0</v>
      </c>
      <c r="R119">
        <f t="shared" si="8"/>
        <v>0</v>
      </c>
      <c r="S119" s="65"/>
    </row>
    <row r="120" spans="13:19">
      <c r="M120">
        <v>454</v>
      </c>
      <c r="N120" t="s">
        <v>129</v>
      </c>
      <c r="O120">
        <f t="shared" si="6"/>
        <v>0</v>
      </c>
      <c r="P120">
        <f>SUMIF($A$2:$A$46,M120,($E$2:$E$46))*'Front page'!$E$14</f>
        <v>0</v>
      </c>
      <c r="Q120">
        <f t="shared" si="7"/>
        <v>0</v>
      </c>
      <c r="R120">
        <f t="shared" si="8"/>
        <v>0</v>
      </c>
      <c r="S120" s="65"/>
    </row>
    <row r="121" spans="13:19">
      <c r="M121">
        <v>455</v>
      </c>
      <c r="N121" t="s">
        <v>130</v>
      </c>
      <c r="O121">
        <f t="shared" si="6"/>
        <v>0</v>
      </c>
      <c r="P121">
        <f>SUMIF($A$2:$A$46,M121,($E$2:$E$46))*'Front page'!$E$14</f>
        <v>0</v>
      </c>
      <c r="Q121">
        <f t="shared" si="7"/>
        <v>0</v>
      </c>
      <c r="R121">
        <f t="shared" si="8"/>
        <v>0</v>
      </c>
      <c r="S121" s="65"/>
    </row>
    <row r="122" spans="13:19">
      <c r="M122">
        <v>456</v>
      </c>
      <c r="N122" t="s">
        <v>131</v>
      </c>
      <c r="O122">
        <f t="shared" si="6"/>
        <v>0</v>
      </c>
      <c r="P122">
        <f>SUMIF($A$2:$A$46,M122,($E$2:$E$46))*'Front page'!$E$14</f>
        <v>0</v>
      </c>
      <c r="Q122">
        <f t="shared" si="7"/>
        <v>0</v>
      </c>
      <c r="R122">
        <f t="shared" si="8"/>
        <v>0</v>
      </c>
      <c r="S122" s="65"/>
    </row>
    <row r="123" spans="13:19">
      <c r="M123">
        <v>457</v>
      </c>
      <c r="N123" t="s">
        <v>132</v>
      </c>
      <c r="O123">
        <f t="shared" si="6"/>
        <v>0</v>
      </c>
      <c r="P123">
        <f>SUMIF($A$2:$A$46,M123,($E$2:$E$46))*'Front page'!$E$14</f>
        <v>0</v>
      </c>
      <c r="Q123">
        <f t="shared" si="7"/>
        <v>0</v>
      </c>
      <c r="R123">
        <f t="shared" si="8"/>
        <v>0</v>
      </c>
      <c r="S123" s="65"/>
    </row>
    <row r="124" spans="13:19">
      <c r="M124">
        <v>458</v>
      </c>
      <c r="N124" t="s">
        <v>133</v>
      </c>
      <c r="O124">
        <f t="shared" si="6"/>
        <v>0</v>
      </c>
      <c r="P124">
        <f>SUMIF($A$2:$A$46,M124,($E$2:$E$46))*'Front page'!$E$14</f>
        <v>0</v>
      </c>
      <c r="Q124">
        <f t="shared" si="7"/>
        <v>0</v>
      </c>
      <c r="R124">
        <f t="shared" si="8"/>
        <v>0</v>
      </c>
      <c r="S124" s="65"/>
    </row>
    <row r="125" spans="13:19">
      <c r="M125">
        <v>460</v>
      </c>
      <c r="N125" t="s">
        <v>134</v>
      </c>
      <c r="O125">
        <f t="shared" si="6"/>
        <v>0</v>
      </c>
      <c r="P125">
        <f>SUMIF($A$2:$A$46,M125,($E$2:$E$46))*'Front page'!$E$14</f>
        <v>0</v>
      </c>
      <c r="Q125">
        <f t="shared" si="7"/>
        <v>0</v>
      </c>
      <c r="R125">
        <f t="shared" si="8"/>
        <v>0</v>
      </c>
      <c r="S125" s="65"/>
    </row>
    <row r="126" spans="13:19">
      <c r="M126">
        <v>461</v>
      </c>
      <c r="N126" t="s">
        <v>135</v>
      </c>
      <c r="O126">
        <f t="shared" si="6"/>
        <v>0</v>
      </c>
      <c r="P126">
        <f>SUMIF($A$2:$A$46,M126,($E$2:$E$46))*'Front page'!$E$14</f>
        <v>0</v>
      </c>
      <c r="Q126">
        <f t="shared" si="7"/>
        <v>0</v>
      </c>
      <c r="R126">
        <f t="shared" si="8"/>
        <v>0</v>
      </c>
      <c r="S126" s="65"/>
    </row>
    <row r="127" spans="13:19">
      <c r="M127">
        <v>462</v>
      </c>
      <c r="N127" t="s">
        <v>136</v>
      </c>
      <c r="O127">
        <f t="shared" si="6"/>
        <v>0</v>
      </c>
      <c r="P127">
        <f>SUMIF($A$2:$A$46,M127,($E$2:$E$46))*'Front page'!$E$14</f>
        <v>0</v>
      </c>
      <c r="Q127">
        <f t="shared" si="7"/>
        <v>0</v>
      </c>
      <c r="R127">
        <f t="shared" si="8"/>
        <v>0</v>
      </c>
      <c r="S127" s="65"/>
    </row>
    <row r="128" spans="13:19">
      <c r="M128">
        <v>463</v>
      </c>
      <c r="N128" t="s">
        <v>137</v>
      </c>
      <c r="O128">
        <f t="shared" si="6"/>
        <v>0</v>
      </c>
      <c r="P128">
        <f>SUMIF($A$2:$A$46,M128,($E$2:$E$46))*'Front page'!$E$14</f>
        <v>0</v>
      </c>
      <c r="Q128">
        <f t="shared" si="7"/>
        <v>0</v>
      </c>
      <c r="R128">
        <f t="shared" si="8"/>
        <v>0</v>
      </c>
      <c r="S128" s="65"/>
    </row>
    <row r="129" spans="13:19">
      <c r="M129">
        <v>464</v>
      </c>
      <c r="N129" t="s">
        <v>138</v>
      </c>
      <c r="O129">
        <f t="shared" si="6"/>
        <v>0</v>
      </c>
      <c r="P129">
        <f>SUMIF($A$2:$A$46,M129,($E$2:$E$46))*'Front page'!$E$14</f>
        <v>0</v>
      </c>
      <c r="Q129">
        <f t="shared" si="7"/>
        <v>0</v>
      </c>
      <c r="R129">
        <f t="shared" si="8"/>
        <v>0</v>
      </c>
      <c r="S129" s="65"/>
    </row>
    <row r="130" spans="13:19">
      <c r="M130">
        <v>465</v>
      </c>
      <c r="N130" t="s">
        <v>139</v>
      </c>
      <c r="O130">
        <f t="shared" si="6"/>
        <v>0</v>
      </c>
      <c r="P130">
        <f>SUMIF($A$2:$A$46,M130,($E$2:$E$46))*'Front page'!$E$14</f>
        <v>0</v>
      </c>
      <c r="Q130">
        <f t="shared" si="7"/>
        <v>0</v>
      </c>
      <c r="R130">
        <f t="shared" si="8"/>
        <v>0</v>
      </c>
      <c r="S130" s="65"/>
    </row>
    <row r="131" spans="13:19">
      <c r="M131">
        <v>466</v>
      </c>
      <c r="N131" t="s">
        <v>140</v>
      </c>
      <c r="O131">
        <f t="shared" ref="O131:O174" si="9">SUMIF($A$2:$A$46,M131,$K$2:$K$46)</f>
        <v>0</v>
      </c>
      <c r="P131">
        <f>SUMIF($A$2:$A$46,M131,($E$2:$E$46))*'Front page'!$E$14</f>
        <v>0</v>
      </c>
      <c r="Q131">
        <f t="shared" ref="Q131:Q174" si="10">SUMIF($A$2:$A$46,M131,$E$2:$E$46)</f>
        <v>0</v>
      </c>
      <c r="R131">
        <f t="shared" ref="R131:R174" si="11">O131+Q131</f>
        <v>0</v>
      </c>
      <c r="S131" s="65"/>
    </row>
    <row r="132" spans="13:19">
      <c r="M132">
        <v>468</v>
      </c>
      <c r="N132" t="s">
        <v>141</v>
      </c>
      <c r="O132">
        <f t="shared" si="9"/>
        <v>0</v>
      </c>
      <c r="P132">
        <f>SUMIF($A$2:$A$46,M132,($E$2:$E$46))*'Front page'!$E$14</f>
        <v>0</v>
      </c>
      <c r="Q132">
        <f t="shared" si="10"/>
        <v>0</v>
      </c>
      <c r="R132">
        <f t="shared" si="11"/>
        <v>0</v>
      </c>
      <c r="S132" s="65"/>
    </row>
    <row r="133" spans="13:19">
      <c r="M133">
        <v>469</v>
      </c>
      <c r="N133" t="s">
        <v>142</v>
      </c>
      <c r="O133">
        <f t="shared" si="9"/>
        <v>0</v>
      </c>
      <c r="P133">
        <f>SUMIF($A$2:$A$46,M133,($E$2:$E$46))*'Front page'!$E$14</f>
        <v>0</v>
      </c>
      <c r="Q133">
        <f t="shared" si="10"/>
        <v>0</v>
      </c>
      <c r="R133">
        <f t="shared" si="11"/>
        <v>0</v>
      </c>
      <c r="S133" s="65"/>
    </row>
    <row r="134" spans="13:19">
      <c r="M134">
        <v>470</v>
      </c>
      <c r="N134" t="s">
        <v>143</v>
      </c>
      <c r="O134">
        <f t="shared" si="9"/>
        <v>0</v>
      </c>
      <c r="P134">
        <f>SUMIF($A$2:$A$46,M134,($E$2:$E$46))*'Front page'!$E$14</f>
        <v>0</v>
      </c>
      <c r="Q134">
        <f t="shared" si="10"/>
        <v>0</v>
      </c>
      <c r="R134">
        <f t="shared" si="11"/>
        <v>0</v>
      </c>
      <c r="S134" s="65"/>
    </row>
    <row r="135" spans="13:19">
      <c r="M135">
        <v>472</v>
      </c>
      <c r="N135" t="s">
        <v>144</v>
      </c>
      <c r="O135">
        <f t="shared" si="9"/>
        <v>0</v>
      </c>
      <c r="P135">
        <f>SUMIF($A$2:$A$46,M135,($E$2:$E$46))*'Front page'!$E$14</f>
        <v>0</v>
      </c>
      <c r="Q135">
        <f t="shared" si="10"/>
        <v>0</v>
      </c>
      <c r="R135">
        <f t="shared" si="11"/>
        <v>0</v>
      </c>
      <c r="S135" s="65"/>
    </row>
    <row r="136" spans="13:19">
      <c r="M136">
        <v>473</v>
      </c>
      <c r="N136" t="s">
        <v>145</v>
      </c>
      <c r="O136">
        <f t="shared" si="9"/>
        <v>0</v>
      </c>
      <c r="P136">
        <f>SUMIF($A$2:$A$46,M136,($E$2:$E$46))*'Front page'!$E$14</f>
        <v>0</v>
      </c>
      <c r="Q136">
        <f t="shared" si="10"/>
        <v>0</v>
      </c>
      <c r="R136">
        <f t="shared" si="11"/>
        <v>0</v>
      </c>
      <c r="S136" s="65"/>
    </row>
    <row r="137" spans="13:19">
      <c r="M137">
        <v>474</v>
      </c>
      <c r="N137" t="s">
        <v>146</v>
      </c>
      <c r="O137">
        <f t="shared" si="9"/>
        <v>0</v>
      </c>
      <c r="P137">
        <f>SUMIF($A$2:$A$46,M137,($E$2:$E$46))*'Front page'!$E$14</f>
        <v>0</v>
      </c>
      <c r="Q137">
        <f t="shared" si="10"/>
        <v>0</v>
      </c>
      <c r="R137">
        <f t="shared" si="11"/>
        <v>0</v>
      </c>
      <c r="S137" s="65"/>
    </row>
    <row r="138" spans="13:19">
      <c r="M138">
        <v>475</v>
      </c>
      <c r="N138" t="s">
        <v>147</v>
      </c>
      <c r="O138">
        <f t="shared" si="9"/>
        <v>0</v>
      </c>
      <c r="P138">
        <f>SUMIF($A$2:$A$46,M138,($E$2:$E$46))*'Front page'!$E$14</f>
        <v>0</v>
      </c>
      <c r="Q138">
        <f t="shared" si="10"/>
        <v>0</v>
      </c>
      <c r="R138">
        <f t="shared" si="11"/>
        <v>0</v>
      </c>
      <c r="S138" s="65"/>
    </row>
    <row r="139" spans="13:19">
      <c r="M139">
        <v>476</v>
      </c>
      <c r="N139" t="s">
        <v>148</v>
      </c>
      <c r="O139">
        <f t="shared" si="9"/>
        <v>0</v>
      </c>
      <c r="P139">
        <f>SUMIF($A$2:$A$46,M139,($E$2:$E$46))*'Front page'!$E$14</f>
        <v>0</v>
      </c>
      <c r="Q139">
        <f t="shared" si="10"/>
        <v>0</v>
      </c>
      <c r="R139">
        <f t="shared" si="11"/>
        <v>0</v>
      </c>
      <c r="S139" s="65"/>
    </row>
    <row r="140" spans="13:19">
      <c r="M140">
        <v>477</v>
      </c>
      <c r="N140" t="s">
        <v>149</v>
      </c>
      <c r="O140">
        <f t="shared" si="9"/>
        <v>0</v>
      </c>
      <c r="P140">
        <f>SUMIF($A$2:$A$46,M140,($E$2:$E$46))*'Front page'!$E$14</f>
        <v>0</v>
      </c>
      <c r="Q140">
        <f t="shared" si="10"/>
        <v>0</v>
      </c>
      <c r="R140">
        <f t="shared" si="11"/>
        <v>0</v>
      </c>
      <c r="S140" s="65"/>
    </row>
    <row r="141" spans="13:19">
      <c r="M141">
        <v>478</v>
      </c>
      <c r="N141" t="s">
        <v>150</v>
      </c>
      <c r="O141">
        <f t="shared" si="9"/>
        <v>0</v>
      </c>
      <c r="P141">
        <f>SUMIF($A$2:$A$46,M141,($E$2:$E$46))*'Front page'!$E$14</f>
        <v>0</v>
      </c>
      <c r="Q141">
        <f t="shared" si="10"/>
        <v>0</v>
      </c>
      <c r="R141">
        <f t="shared" si="11"/>
        <v>0</v>
      </c>
      <c r="S141" s="65"/>
    </row>
    <row r="142" spans="13:19">
      <c r="M142">
        <v>479</v>
      </c>
      <c r="N142" t="s">
        <v>151</v>
      </c>
      <c r="O142">
        <f t="shared" si="9"/>
        <v>0</v>
      </c>
      <c r="P142">
        <f>SUMIF($A$2:$A$46,M142,($E$2:$E$46))*'Front page'!$E$14</f>
        <v>0</v>
      </c>
      <c r="Q142">
        <f t="shared" si="10"/>
        <v>0</v>
      </c>
      <c r="R142">
        <f t="shared" si="11"/>
        <v>0</v>
      </c>
      <c r="S142" s="65"/>
    </row>
    <row r="143" spans="13:19">
      <c r="M143">
        <v>480</v>
      </c>
      <c r="N143" t="s">
        <v>152</v>
      </c>
      <c r="O143">
        <f t="shared" si="9"/>
        <v>0</v>
      </c>
      <c r="P143">
        <f>SUMIF($A$2:$A$46,M143,($E$2:$E$46))*'Front page'!$E$14</f>
        <v>0</v>
      </c>
      <c r="Q143">
        <f t="shared" si="10"/>
        <v>0</v>
      </c>
      <c r="R143">
        <f t="shared" si="11"/>
        <v>0</v>
      </c>
      <c r="S143" s="65"/>
    </row>
    <row r="144" spans="13:19">
      <c r="M144">
        <v>481</v>
      </c>
      <c r="N144" t="s">
        <v>153</v>
      </c>
      <c r="O144">
        <f t="shared" si="9"/>
        <v>0</v>
      </c>
      <c r="P144">
        <f>SUMIF($A$2:$A$46,M144,($E$2:$E$46))*'Front page'!$E$14</f>
        <v>0</v>
      </c>
      <c r="Q144">
        <f t="shared" si="10"/>
        <v>0</v>
      </c>
      <c r="R144">
        <f t="shared" si="11"/>
        <v>0</v>
      </c>
      <c r="S144" s="65"/>
    </row>
    <row r="145" spans="13:19">
      <c r="M145">
        <v>482</v>
      </c>
      <c r="N145" t="s">
        <v>154</v>
      </c>
      <c r="O145">
        <f t="shared" si="9"/>
        <v>0</v>
      </c>
      <c r="P145">
        <f>SUMIF($A$2:$A$46,M145,($E$2:$E$46))*'Front page'!$E$14</f>
        <v>0</v>
      </c>
      <c r="Q145">
        <f t="shared" si="10"/>
        <v>0</v>
      </c>
      <c r="R145">
        <f t="shared" si="11"/>
        <v>0</v>
      </c>
      <c r="S145" s="65"/>
    </row>
    <row r="146" spans="13:19">
      <c r="M146">
        <v>483</v>
      </c>
      <c r="N146" t="s">
        <v>155</v>
      </c>
      <c r="O146">
        <f t="shared" si="9"/>
        <v>0</v>
      </c>
      <c r="P146">
        <f>SUMIF($A$2:$A$46,M146,($E$2:$E$46))*'Front page'!$E$14</f>
        <v>0</v>
      </c>
      <c r="Q146">
        <f t="shared" si="10"/>
        <v>0</v>
      </c>
      <c r="R146">
        <f t="shared" si="11"/>
        <v>0</v>
      </c>
      <c r="S146" s="65"/>
    </row>
    <row r="147" spans="13:19">
      <c r="M147">
        <v>485</v>
      </c>
      <c r="N147" t="s">
        <v>156</v>
      </c>
      <c r="O147">
        <f t="shared" si="9"/>
        <v>0</v>
      </c>
      <c r="P147">
        <f>SUMIF($A$2:$A$46,M147,($E$2:$E$46))*'Front page'!$E$14</f>
        <v>0</v>
      </c>
      <c r="Q147">
        <f t="shared" si="10"/>
        <v>0</v>
      </c>
      <c r="R147">
        <f t="shared" si="11"/>
        <v>0</v>
      </c>
      <c r="S147" s="65"/>
    </row>
    <row r="148" spans="13:19">
      <c r="M148">
        <v>486</v>
      </c>
      <c r="N148" t="s">
        <v>157</v>
      </c>
      <c r="O148">
        <f t="shared" si="9"/>
        <v>0</v>
      </c>
      <c r="P148">
        <f>SUMIF($A$2:$A$46,M148,($E$2:$E$46))*'Front page'!$E$14</f>
        <v>0</v>
      </c>
      <c r="Q148">
        <f t="shared" si="10"/>
        <v>0</v>
      </c>
      <c r="R148">
        <f t="shared" si="11"/>
        <v>0</v>
      </c>
      <c r="S148" s="65"/>
    </row>
    <row r="149" spans="13:19">
      <c r="M149">
        <v>487</v>
      </c>
      <c r="N149" t="s">
        <v>158</v>
      </c>
      <c r="O149">
        <f t="shared" si="9"/>
        <v>0</v>
      </c>
      <c r="P149">
        <f>SUMIF($A$2:$A$46,M149,($E$2:$E$46))*'Front page'!$E$14</f>
        <v>0</v>
      </c>
      <c r="Q149">
        <f t="shared" si="10"/>
        <v>0</v>
      </c>
      <c r="R149">
        <f t="shared" si="11"/>
        <v>0</v>
      </c>
      <c r="S149" s="65"/>
    </row>
    <row r="150" spans="13:19">
      <c r="M150">
        <v>488</v>
      </c>
      <c r="N150" t="s">
        <v>159</v>
      </c>
      <c r="O150">
        <f t="shared" si="9"/>
        <v>0</v>
      </c>
      <c r="P150">
        <f>SUMIF($A$2:$A$46,M150,($E$2:$E$46))*'Front page'!$E$14</f>
        <v>0</v>
      </c>
      <c r="Q150">
        <f t="shared" si="10"/>
        <v>0</v>
      </c>
      <c r="R150">
        <f t="shared" si="11"/>
        <v>0</v>
      </c>
      <c r="S150" s="65"/>
    </row>
    <row r="151" spans="13:19">
      <c r="M151">
        <v>489</v>
      </c>
      <c r="N151" t="s">
        <v>160</v>
      </c>
      <c r="O151">
        <f t="shared" si="9"/>
        <v>0</v>
      </c>
      <c r="P151">
        <f>SUMIF($A$2:$A$46,M151,($E$2:$E$46))*'Front page'!$E$14</f>
        <v>0</v>
      </c>
      <c r="Q151">
        <f t="shared" si="10"/>
        <v>0</v>
      </c>
      <c r="R151">
        <f t="shared" si="11"/>
        <v>0</v>
      </c>
      <c r="S151" s="65"/>
    </row>
    <row r="152" spans="13:19">
      <c r="M152">
        <v>490</v>
      </c>
      <c r="N152" t="s">
        <v>161</v>
      </c>
      <c r="O152">
        <f t="shared" si="9"/>
        <v>0</v>
      </c>
      <c r="P152">
        <f>SUMIF($A$2:$A$46,M152,($E$2:$E$46))*'Front page'!$E$14</f>
        <v>0</v>
      </c>
      <c r="Q152">
        <f t="shared" si="10"/>
        <v>0</v>
      </c>
      <c r="R152">
        <f t="shared" si="11"/>
        <v>0</v>
      </c>
      <c r="S152" s="65"/>
    </row>
    <row r="153" spans="13:19">
      <c r="M153">
        <v>491</v>
      </c>
      <c r="N153" t="s">
        <v>162</v>
      </c>
      <c r="O153">
        <f t="shared" si="9"/>
        <v>0</v>
      </c>
      <c r="P153">
        <f>SUMIF($A$2:$A$46,M153,($E$2:$E$46))*'Front page'!$E$14</f>
        <v>0</v>
      </c>
      <c r="Q153">
        <f t="shared" si="10"/>
        <v>0</v>
      </c>
      <c r="R153">
        <f t="shared" si="11"/>
        <v>0</v>
      </c>
      <c r="S153" s="65"/>
    </row>
    <row r="154" spans="13:19">
      <c r="M154">
        <v>492</v>
      </c>
      <c r="N154" t="s">
        <v>163</v>
      </c>
      <c r="O154">
        <f t="shared" si="9"/>
        <v>0</v>
      </c>
      <c r="P154">
        <f>SUMIF($A$2:$A$46,M154,($E$2:$E$46))*'Front page'!$E$14</f>
        <v>0</v>
      </c>
      <c r="Q154">
        <f t="shared" si="10"/>
        <v>0</v>
      </c>
      <c r="R154">
        <f t="shared" si="11"/>
        <v>0</v>
      </c>
      <c r="S154" s="65"/>
    </row>
    <row r="155" spans="13:19">
      <c r="M155">
        <v>493</v>
      </c>
      <c r="N155" t="s">
        <v>164</v>
      </c>
      <c r="O155">
        <f t="shared" si="9"/>
        <v>0</v>
      </c>
      <c r="P155">
        <f>SUMIF($A$2:$A$46,M155,($E$2:$E$46))*'Front page'!$E$14</f>
        <v>0</v>
      </c>
      <c r="Q155">
        <f t="shared" si="10"/>
        <v>0</v>
      </c>
      <c r="R155">
        <f t="shared" si="11"/>
        <v>0</v>
      </c>
      <c r="S155" s="65"/>
    </row>
    <row r="156" spans="13:19">
      <c r="M156">
        <v>494</v>
      </c>
      <c r="N156" t="s">
        <v>165</v>
      </c>
      <c r="O156">
        <f t="shared" si="9"/>
        <v>0</v>
      </c>
      <c r="P156">
        <f>SUMIF($A$2:$A$46,M156,($E$2:$E$46))*'Front page'!$E$14</f>
        <v>0</v>
      </c>
      <c r="Q156">
        <f t="shared" si="10"/>
        <v>0</v>
      </c>
      <c r="R156">
        <f t="shared" si="11"/>
        <v>0</v>
      </c>
      <c r="S156" s="65"/>
    </row>
    <row r="157" spans="13:19">
      <c r="M157">
        <v>495</v>
      </c>
      <c r="N157" t="s">
        <v>166</v>
      </c>
      <c r="O157">
        <f t="shared" si="9"/>
        <v>0</v>
      </c>
      <c r="P157">
        <f>SUMIF($A$2:$A$46,M157,($E$2:$E$46))*'Front page'!$E$14</f>
        <v>0</v>
      </c>
      <c r="Q157">
        <f t="shared" si="10"/>
        <v>0</v>
      </c>
      <c r="R157">
        <f t="shared" si="11"/>
        <v>0</v>
      </c>
      <c r="S157" s="65"/>
    </row>
    <row r="158" spans="13:19">
      <c r="M158">
        <v>496</v>
      </c>
      <c r="N158" t="s">
        <v>167</v>
      </c>
      <c r="O158">
        <f t="shared" si="9"/>
        <v>0</v>
      </c>
      <c r="P158">
        <f>SUMIF($A$2:$A$46,M158,($E$2:$E$46))*'Front page'!$E$14</f>
        <v>0</v>
      </c>
      <c r="Q158">
        <f t="shared" si="10"/>
        <v>0</v>
      </c>
      <c r="R158">
        <f t="shared" si="11"/>
        <v>0</v>
      </c>
      <c r="S158" s="65"/>
    </row>
    <row r="159" spans="13:19">
      <c r="M159">
        <v>497</v>
      </c>
      <c r="N159" t="s">
        <v>168</v>
      </c>
      <c r="O159">
        <f t="shared" si="9"/>
        <v>0</v>
      </c>
      <c r="P159">
        <f>SUMIF($A$2:$A$46,M159,($E$2:$E$46))*'Front page'!$E$14</f>
        <v>0</v>
      </c>
      <c r="Q159">
        <f t="shared" si="10"/>
        <v>0</v>
      </c>
      <c r="R159">
        <f t="shared" si="11"/>
        <v>0</v>
      </c>
      <c r="S159" s="65"/>
    </row>
    <row r="160" spans="13:19">
      <c r="M160">
        <v>498</v>
      </c>
      <c r="N160" t="s">
        <v>592</v>
      </c>
      <c r="O160">
        <f t="shared" ref="O160:O164" si="12">SUMIF($A$2:$A$46,M160,$K$2:$K$46)</f>
        <v>0</v>
      </c>
      <c r="P160">
        <f>SUMIF($A$2:$A$46,M160,($E$2:$E$46))*'Front page'!$E$14</f>
        <v>0</v>
      </c>
      <c r="Q160">
        <f t="shared" ref="Q160:Q164" si="13">SUMIF($A$2:$A$46,M160,$E$2:$E$46)</f>
        <v>0</v>
      </c>
      <c r="R160">
        <f t="shared" ref="R160:R164" si="14">O160+Q160</f>
        <v>0</v>
      </c>
      <c r="S160" s="65"/>
    </row>
    <row r="161" spans="13:19">
      <c r="M161">
        <v>499</v>
      </c>
      <c r="N161" t="s">
        <v>593</v>
      </c>
      <c r="O161">
        <f t="shared" si="12"/>
        <v>0</v>
      </c>
      <c r="P161">
        <f>SUMIF($A$2:$A$46,M161,($E$2:$E$46))*'Front page'!$E$14</f>
        <v>0</v>
      </c>
      <c r="Q161">
        <f t="shared" si="13"/>
        <v>0</v>
      </c>
      <c r="R161">
        <f t="shared" si="14"/>
        <v>0</v>
      </c>
      <c r="S161" s="65"/>
    </row>
    <row r="162" spans="13:19">
      <c r="M162">
        <v>511</v>
      </c>
      <c r="N162" t="s">
        <v>594</v>
      </c>
      <c r="O162">
        <f t="shared" si="12"/>
        <v>0</v>
      </c>
      <c r="P162">
        <f>SUMIF($A$2:$A$46,M162,($E$2:$E$46))*'Front page'!$E$14</f>
        <v>0</v>
      </c>
      <c r="Q162">
        <f t="shared" si="13"/>
        <v>0</v>
      </c>
      <c r="R162">
        <f t="shared" si="14"/>
        <v>0</v>
      </c>
      <c r="S162" s="65"/>
    </row>
    <row r="163" spans="13:19">
      <c r="M163">
        <v>513</v>
      </c>
      <c r="N163" t="s">
        <v>595</v>
      </c>
      <c r="O163">
        <f t="shared" si="12"/>
        <v>0</v>
      </c>
      <c r="P163">
        <f>SUMIF($A$2:$A$46,M163,($E$2:$E$46))*'Front page'!$E$14</f>
        <v>0</v>
      </c>
      <c r="Q163">
        <f t="shared" si="13"/>
        <v>0</v>
      </c>
      <c r="R163">
        <f t="shared" si="14"/>
        <v>0</v>
      </c>
      <c r="S163" s="65"/>
    </row>
    <row r="164" spans="13:19">
      <c r="M164">
        <v>518</v>
      </c>
      <c r="N164" t="s">
        <v>596</v>
      </c>
      <c r="O164">
        <f t="shared" si="12"/>
        <v>0</v>
      </c>
      <c r="P164">
        <f>SUMIF($A$2:$A$46,M164,($E$2:$E$46))*'Front page'!$E$14</f>
        <v>0</v>
      </c>
      <c r="Q164">
        <f t="shared" si="13"/>
        <v>0</v>
      </c>
      <c r="R164">
        <f t="shared" si="14"/>
        <v>0</v>
      </c>
      <c r="S164" s="65"/>
    </row>
    <row r="165" spans="13:19">
      <c r="M165">
        <v>555</v>
      </c>
      <c r="N165" t="s">
        <v>169</v>
      </c>
      <c r="O165">
        <f t="shared" si="9"/>
        <v>0</v>
      </c>
      <c r="P165">
        <f>SUMIF($A$2:$A$46,M165,($E$2:$E$46))*'Front page'!$E$14</f>
        <v>0</v>
      </c>
      <c r="Q165">
        <f t="shared" si="10"/>
        <v>0</v>
      </c>
      <c r="R165">
        <f t="shared" si="11"/>
        <v>0</v>
      </c>
      <c r="S165" s="65"/>
    </row>
    <row r="166" spans="13:19">
      <c r="M166">
        <v>559</v>
      </c>
      <c r="N166" t="s">
        <v>170</v>
      </c>
      <c r="O166">
        <f t="shared" si="9"/>
        <v>0</v>
      </c>
      <c r="P166">
        <f>SUMIF($A$2:$A$46,M166,($E$2:$E$46))*'Front page'!$E$14</f>
        <v>0</v>
      </c>
      <c r="Q166">
        <f t="shared" si="10"/>
        <v>0</v>
      </c>
      <c r="R166">
        <f t="shared" si="11"/>
        <v>0</v>
      </c>
      <c r="S166" s="65"/>
    </row>
    <row r="167" spans="13:19">
      <c r="M167">
        <v>751</v>
      </c>
      <c r="N167" t="s">
        <v>171</v>
      </c>
      <c r="O167">
        <f t="shared" si="9"/>
        <v>0</v>
      </c>
      <c r="P167">
        <f>SUMIF($A$2:$A$46,M167,($E$2:$E$46))*'Front page'!$E$14</f>
        <v>0</v>
      </c>
      <c r="Q167">
        <f t="shared" si="10"/>
        <v>0</v>
      </c>
      <c r="R167">
        <f t="shared" si="11"/>
        <v>0</v>
      </c>
      <c r="S167" s="65"/>
    </row>
    <row r="168" spans="13:19">
      <c r="M168">
        <v>768</v>
      </c>
      <c r="N168" t="s">
        <v>172</v>
      </c>
      <c r="O168">
        <f t="shared" si="9"/>
        <v>0</v>
      </c>
      <c r="P168">
        <f>SUMIF($A$2:$A$46,M168,($E$2:$E$46))*'Front page'!$E$14</f>
        <v>0</v>
      </c>
      <c r="Q168">
        <f t="shared" si="10"/>
        <v>0</v>
      </c>
      <c r="R168">
        <f t="shared" si="11"/>
        <v>0</v>
      </c>
      <c r="S168" s="65"/>
    </row>
    <row r="169" spans="13:19">
      <c r="M169">
        <v>785</v>
      </c>
      <c r="N169" t="s">
        <v>173</v>
      </c>
      <c r="O169">
        <f t="shared" si="9"/>
        <v>0</v>
      </c>
      <c r="P169">
        <f>SUMIF($A$2:$A$46,M169,($E$2:$E$46))*'Front page'!$E$14</f>
        <v>0</v>
      </c>
      <c r="Q169">
        <f t="shared" si="10"/>
        <v>0</v>
      </c>
      <c r="R169">
        <f t="shared" si="11"/>
        <v>0</v>
      </c>
      <c r="S169" s="65"/>
    </row>
    <row r="170" spans="13:19">
      <c r="M170">
        <v>790</v>
      </c>
      <c r="N170" t="s">
        <v>174</v>
      </c>
      <c r="O170">
        <f t="shared" si="9"/>
        <v>0</v>
      </c>
      <c r="P170">
        <f>SUMIF($A$2:$A$46,M170,($E$2:$E$46))*'Front page'!$E$14</f>
        <v>0</v>
      </c>
      <c r="Q170">
        <f t="shared" si="10"/>
        <v>0</v>
      </c>
      <c r="R170">
        <f t="shared" si="11"/>
        <v>0</v>
      </c>
    </row>
    <row r="171" spans="13:19">
      <c r="M171">
        <v>794</v>
      </c>
      <c r="N171" t="s">
        <v>175</v>
      </c>
      <c r="O171">
        <f t="shared" si="9"/>
        <v>0</v>
      </c>
      <c r="P171">
        <f>SUMIF($A$2:$A$46,M171,($E$2:$E$46))*'Front page'!$E$14</f>
        <v>0</v>
      </c>
      <c r="Q171">
        <f t="shared" si="10"/>
        <v>0</v>
      </c>
      <c r="R171">
        <f t="shared" si="11"/>
        <v>0</v>
      </c>
    </row>
    <row r="172" spans="13:19">
      <c r="M172">
        <v>795</v>
      </c>
      <c r="N172" t="s">
        <v>176</v>
      </c>
      <c r="O172">
        <f t="shared" si="9"/>
        <v>0</v>
      </c>
      <c r="P172">
        <f>SUMIF($A$2:$A$46,M172,($E$2:$E$46))*'Front page'!$E$14</f>
        <v>0</v>
      </c>
      <c r="Q172">
        <f t="shared" si="10"/>
        <v>0</v>
      </c>
      <c r="R172">
        <f t="shared" si="11"/>
        <v>0</v>
      </c>
    </row>
    <row r="173" spans="13:19">
      <c r="M173">
        <v>796</v>
      </c>
      <c r="N173" t="s">
        <v>177</v>
      </c>
      <c r="O173">
        <f t="shared" si="9"/>
        <v>0</v>
      </c>
      <c r="P173">
        <f>SUMIF($A$2:$A$46,M173,($E$2:$E$46))*'Front page'!$E$14</f>
        <v>0</v>
      </c>
      <c r="Q173">
        <f t="shared" si="10"/>
        <v>0</v>
      </c>
      <c r="R173">
        <f t="shared" si="11"/>
        <v>0</v>
      </c>
    </row>
    <row r="174" spans="13:19">
      <c r="M174">
        <v>813</v>
      </c>
      <c r="N174" t="s">
        <v>178</v>
      </c>
      <c r="O174">
        <f t="shared" si="9"/>
        <v>0</v>
      </c>
      <c r="P174">
        <f>SUMIF($A$2:$A$46,M174,($E$2:$E$46))*'Front page'!$E$14</f>
        <v>0</v>
      </c>
      <c r="Q174">
        <f t="shared" si="10"/>
        <v>0</v>
      </c>
      <c r="R174">
        <f t="shared" si="11"/>
        <v>0</v>
      </c>
    </row>
  </sheetData>
  <sortState ref="A2:E46">
    <sortCondition ref="A2:A46"/>
  </sortState>
  <dataConsolidate/>
  <conditionalFormatting sqref="S7:S112">
    <cfRule type="cellIs" dxfId="0" priority="1" operator="greaterThan">
      <formula>0.34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workbookViewId="0">
      <pane xSplit="1" ySplit="1" topLeftCell="C2" activePane="bottomRight" state="frozen"/>
      <selection pane="topRight" activeCell="B1" sqref="B1"/>
      <selection pane="bottomLeft" activeCell="A2" sqref="A2"/>
      <selection pane="bottomRight" activeCell="D9" sqref="D9"/>
    </sheetView>
  </sheetViews>
  <sheetFormatPr defaultColWidth="8.85546875" defaultRowHeight="15"/>
  <cols>
    <col min="1" max="1" width="9.140625" bestFit="1" customWidth="1"/>
    <col min="2" max="2" width="9.42578125" hidden="1" customWidth="1"/>
    <col min="3" max="3" width="43.85546875" bestFit="1" customWidth="1"/>
    <col min="4" max="4" width="13.42578125" bestFit="1" customWidth="1"/>
    <col min="5" max="5" width="11.42578125" bestFit="1" customWidth="1"/>
    <col min="6" max="6" width="12.140625" bestFit="1" customWidth="1"/>
    <col min="7" max="7" width="10.140625" bestFit="1" customWidth="1"/>
  </cols>
  <sheetData>
    <row r="1" spans="1:8">
      <c r="A1" t="str">
        <f>'Student Enrollment Data'!A3</f>
        <v>District #1</v>
      </c>
      <c r="B1" t="str">
        <f>'Student Enrollment Data'!B3</f>
        <v>District # 2</v>
      </c>
      <c r="C1" t="str">
        <f>'Student Enrollment Data'!C3</f>
        <v>District Name 1</v>
      </c>
      <c r="D1" t="s">
        <v>290</v>
      </c>
      <c r="E1" t="s">
        <v>258</v>
      </c>
      <c r="F1" t="s">
        <v>259</v>
      </c>
      <c r="G1" t="s">
        <v>418</v>
      </c>
      <c r="H1" t="s">
        <v>329</v>
      </c>
    </row>
    <row r="2" spans="1:8">
      <c r="A2" t="str">
        <f>'Student Enrollment Data'!A4</f>
        <v>001</v>
      </c>
      <c r="B2">
        <f>'Student Enrollment Data'!B4</f>
        <v>1</v>
      </c>
      <c r="C2" t="str">
        <f>'Student Enrollment Data'!C4</f>
        <v>Boise Independent School District # 001</v>
      </c>
      <c r="D2">
        <v>0</v>
      </c>
      <c r="E2" s="34">
        <f>IF(settings!$G$4=0,'Student Enrollment Data'!BA4,'Student Enrollment Data'!CN4)</f>
        <v>12099.578947368422</v>
      </c>
      <c r="F2" s="34">
        <f>IF(settings!$G$4=0,'Student Enrollment Data'!BB4,'Student Enrollment Data'!CO4)</f>
        <v>12453.15158622291</v>
      </c>
      <c r="G2" s="39">
        <f t="shared" ref="G2:G66" si="0">E2+F2</f>
        <v>24552.730533591333</v>
      </c>
      <c r="H2">
        <f>IF(G2&lt;20000,0,IF(G2&gt;19999,settings!$Q$3,('Large District Weight'!G2*settings!$P$6)+settings!P7))</f>
        <v>0.02</v>
      </c>
    </row>
    <row r="3" spans="1:8">
      <c r="A3" t="str">
        <f>'Student Enrollment Data'!A5</f>
        <v>002</v>
      </c>
      <c r="B3">
        <f>'Student Enrollment Data'!B5</f>
        <v>2</v>
      </c>
      <c r="C3" t="str">
        <f>'Student Enrollment Data'!C5</f>
        <v>West Ada Joint School District # 002</v>
      </c>
      <c r="D3">
        <v>0</v>
      </c>
      <c r="E3" s="34">
        <f>IF(settings!$G$4=0,'Student Enrollment Data'!BA5,'Student Enrollment Data'!CN5)</f>
        <v>19278.186274509804</v>
      </c>
      <c r="F3" s="34">
        <f>IF(settings!$G$4=0,'Student Enrollment Data'!BB5,'Student Enrollment Data'!CO5)</f>
        <v>18610.338235294119</v>
      </c>
      <c r="G3" s="39">
        <f t="shared" si="0"/>
        <v>37888.524509803923</v>
      </c>
      <c r="H3">
        <f>IF(G3&lt;20000,0,IF(G3&gt;19999,settings!$Q$3,('Large District Weight'!G3*settings!$P$6)+settings!P8))</f>
        <v>0.02</v>
      </c>
    </row>
    <row r="4" spans="1:8">
      <c r="A4" t="str">
        <f>'Student Enrollment Data'!A6</f>
        <v>003</v>
      </c>
      <c r="B4">
        <f>'Student Enrollment Data'!B6</f>
        <v>3</v>
      </c>
      <c r="C4" t="str">
        <f>'Student Enrollment Data'!C6</f>
        <v>Kuna Joint School District # 003</v>
      </c>
      <c r="D4">
        <v>0</v>
      </c>
      <c r="E4" s="34">
        <f>IF(settings!$G$4=0,'Student Enrollment Data'!BA6,'Student Enrollment Data'!CN6)</f>
        <v>2546</v>
      </c>
      <c r="F4" s="34">
        <f>IF(settings!$G$4=0,'Student Enrollment Data'!BB6,'Student Enrollment Data'!CO6)</f>
        <v>2615.4496078431371</v>
      </c>
      <c r="G4" s="39">
        <f t="shared" si="0"/>
        <v>5161.4496078431366</v>
      </c>
      <c r="H4">
        <f>IF(G4&lt;20000,0,IF(G4&gt;19999,settings!$Q$3,('Large District Weight'!G4*settings!$P$6)+settings!P9))</f>
        <v>0</v>
      </c>
    </row>
    <row r="5" spans="1:8">
      <c r="A5" t="str">
        <f>'Student Enrollment Data'!A7</f>
        <v>011</v>
      </c>
      <c r="B5">
        <f>'Student Enrollment Data'!B7</f>
        <v>11</v>
      </c>
      <c r="C5" t="str">
        <f>'Student Enrollment Data'!C7</f>
        <v>Meadows Valley School District # 011</v>
      </c>
      <c r="D5">
        <v>0</v>
      </c>
      <c r="E5" s="34">
        <f>IF(settings!$G$4=0,'Student Enrollment Data'!BA7,'Student Enrollment Data'!CN7)</f>
        <v>77</v>
      </c>
      <c r="F5" s="34">
        <f>IF(settings!$G$4=0,'Student Enrollment Data'!BB7,'Student Enrollment Data'!CO7)</f>
        <v>100</v>
      </c>
      <c r="G5" s="39">
        <f t="shared" si="0"/>
        <v>177</v>
      </c>
      <c r="H5">
        <f>IF(G5&lt;20000,0,IF(G5&gt;19999,settings!$Q$3,('Large District Weight'!G5*settings!$P$6)+settings!P10))</f>
        <v>0</v>
      </c>
    </row>
    <row r="6" spans="1:8">
      <c r="A6" t="str">
        <f>'Student Enrollment Data'!A8</f>
        <v>013</v>
      </c>
      <c r="B6">
        <f>'Student Enrollment Data'!B8</f>
        <v>13</v>
      </c>
      <c r="C6" t="str">
        <f>'Student Enrollment Data'!C8</f>
        <v>Council School District # 013</v>
      </c>
      <c r="D6">
        <v>0</v>
      </c>
      <c r="E6" s="34">
        <f>IF(settings!$G$4=0,'Student Enrollment Data'!BA8,'Student Enrollment Data'!CN8)</f>
        <v>139</v>
      </c>
      <c r="F6" s="34">
        <f>IF(settings!$G$4=0,'Student Enrollment Data'!BB8,'Student Enrollment Data'!CO8)</f>
        <v>133</v>
      </c>
      <c r="G6" s="39">
        <f t="shared" si="0"/>
        <v>272</v>
      </c>
      <c r="H6">
        <f>IF(G6&lt;20000,0,IF(G6&gt;19999,settings!$Q$3,('Large District Weight'!G6*settings!$P$6)+settings!P11))</f>
        <v>0</v>
      </c>
    </row>
    <row r="7" spans="1:8">
      <c r="A7" t="str">
        <f>'Student Enrollment Data'!A9</f>
        <v>021</v>
      </c>
      <c r="B7">
        <f>'Student Enrollment Data'!B9</f>
        <v>21</v>
      </c>
      <c r="C7" t="str">
        <f>'Student Enrollment Data'!C9</f>
        <v>Marsh Valley Joint School District # 021</v>
      </c>
      <c r="D7">
        <v>0</v>
      </c>
      <c r="E7" s="34">
        <f>IF(settings!$G$4=0,'Student Enrollment Data'!BA9,'Student Enrollment Data'!CN9)</f>
        <v>601</v>
      </c>
      <c r="F7" s="34">
        <f>IF(settings!$G$4=0,'Student Enrollment Data'!BB9,'Student Enrollment Data'!CO9)</f>
        <v>628</v>
      </c>
      <c r="G7" s="39">
        <f t="shared" si="0"/>
        <v>1229</v>
      </c>
      <c r="H7">
        <f>IF(G7&lt;20000,0,IF(G7&gt;19999,settings!$Q$3,('Large District Weight'!G7*settings!$P$6)+settings!P12))</f>
        <v>0</v>
      </c>
    </row>
    <row r="8" spans="1:8">
      <c r="A8" t="str">
        <f>'Student Enrollment Data'!A10</f>
        <v>025</v>
      </c>
      <c r="B8">
        <f>'Student Enrollment Data'!B10</f>
        <v>25</v>
      </c>
      <c r="C8" t="str">
        <f>'Student Enrollment Data'!C10</f>
        <v>Pocatello School District # 025</v>
      </c>
      <c r="D8">
        <v>0</v>
      </c>
      <c r="E8" s="34">
        <f>IF(settings!$G$4=0,'Student Enrollment Data'!BA10,'Student Enrollment Data'!CN10)</f>
        <v>6061.1765795206975</v>
      </c>
      <c r="F8" s="34">
        <f>IF(settings!$G$4=0,'Student Enrollment Data'!BB10,'Student Enrollment Data'!CO10)</f>
        <v>6006.4798474945537</v>
      </c>
      <c r="G8" s="39">
        <f t="shared" si="0"/>
        <v>12067.656427015252</v>
      </c>
      <c r="H8">
        <f>IF(G8&lt;20000,0,IF(G8&gt;19999,settings!$Q$3,('Large District Weight'!G8*settings!$P$6)+settings!P13))</f>
        <v>0</v>
      </c>
    </row>
    <row r="9" spans="1:8">
      <c r="A9" t="str">
        <f>'Student Enrollment Data'!A11</f>
        <v>033</v>
      </c>
      <c r="B9">
        <f>'Student Enrollment Data'!B11</f>
        <v>33</v>
      </c>
      <c r="C9" t="str">
        <f>'Student Enrollment Data'!C11</f>
        <v>Bear Lake County School District # 033</v>
      </c>
      <c r="D9">
        <v>0</v>
      </c>
      <c r="E9" s="34">
        <f>IF(settings!$G$4=0,'Student Enrollment Data'!BA11,'Student Enrollment Data'!CN11)</f>
        <v>623.5</v>
      </c>
      <c r="F9" s="34">
        <f>IF(settings!$G$4=0,'Student Enrollment Data'!BB11,'Student Enrollment Data'!CO11)</f>
        <v>504</v>
      </c>
      <c r="G9" s="39">
        <f t="shared" si="0"/>
        <v>1127.5</v>
      </c>
      <c r="H9">
        <f>IF(G9&lt;20000,0,IF(G9&gt;19999,settings!$Q$3,('Large District Weight'!G9*settings!$P$6)+settings!P14))</f>
        <v>0</v>
      </c>
    </row>
    <row r="10" spans="1:8">
      <c r="A10" t="str">
        <f>'Student Enrollment Data'!A12</f>
        <v>041</v>
      </c>
      <c r="B10">
        <f>'Student Enrollment Data'!B12</f>
        <v>41</v>
      </c>
      <c r="C10" t="str">
        <f>'Student Enrollment Data'!C12</f>
        <v>St. Maries Joint School District # 041</v>
      </c>
      <c r="D10">
        <v>0</v>
      </c>
      <c r="E10" s="34">
        <f>IF(settings!$G$4=0,'Student Enrollment Data'!BA12,'Student Enrollment Data'!CN12)</f>
        <v>490</v>
      </c>
      <c r="F10" s="34">
        <f>IF(settings!$G$4=0,'Student Enrollment Data'!BB12,'Student Enrollment Data'!CO12)</f>
        <v>450</v>
      </c>
      <c r="G10" s="39">
        <f t="shared" si="0"/>
        <v>940</v>
      </c>
      <c r="H10">
        <f>IF(G10&lt;20000,0,IF(G10&gt;19999,settings!$Q$3,('Large District Weight'!G10*settings!$P$6)+settings!P15))</f>
        <v>0</v>
      </c>
    </row>
    <row r="11" spans="1:8">
      <c r="A11" t="str">
        <f>'Student Enrollment Data'!A13</f>
        <v>044</v>
      </c>
      <c r="B11">
        <f>'Student Enrollment Data'!B13</f>
        <v>44</v>
      </c>
      <c r="C11" t="str">
        <f>'Student Enrollment Data'!C13</f>
        <v>Plummer / Worley Joint School District # 044</v>
      </c>
      <c r="D11">
        <v>0</v>
      </c>
      <c r="E11" s="34">
        <f>IF(settings!$G$4=0,'Student Enrollment Data'!BA13,'Student Enrollment Data'!CN13)</f>
        <v>169.5</v>
      </c>
      <c r="F11" s="34">
        <f>IF(settings!$G$4=0,'Student Enrollment Data'!BB13,'Student Enrollment Data'!CO13)</f>
        <v>171</v>
      </c>
      <c r="G11" s="39">
        <f t="shared" si="0"/>
        <v>340.5</v>
      </c>
      <c r="H11">
        <f>IF(G11&lt;20000,0,IF(G11&gt;19999,settings!$Q$3,('Large District Weight'!G11*settings!$P$6)+settings!P16))</f>
        <v>0</v>
      </c>
    </row>
    <row r="12" spans="1:8">
      <c r="A12" t="str">
        <f>'Student Enrollment Data'!A14</f>
        <v>052</v>
      </c>
      <c r="B12">
        <f>'Student Enrollment Data'!B14</f>
        <v>52</v>
      </c>
      <c r="C12" t="str">
        <f>'Student Enrollment Data'!C14</f>
        <v>Snake River School District # 052</v>
      </c>
      <c r="D12">
        <v>0</v>
      </c>
      <c r="E12" s="34">
        <f>IF(settings!$G$4=0,'Student Enrollment Data'!BA14,'Student Enrollment Data'!CN14)</f>
        <v>868.5</v>
      </c>
      <c r="F12" s="34">
        <f>IF(settings!$G$4=0,'Student Enrollment Data'!BB14,'Student Enrollment Data'!CO14)</f>
        <v>837</v>
      </c>
      <c r="G12" s="39">
        <f t="shared" si="0"/>
        <v>1705.5</v>
      </c>
      <c r="H12">
        <f>IF(G12&lt;20000,0,IF(G12&gt;19999,settings!$Q$3,('Large District Weight'!G12*settings!$P$6)+settings!P17))</f>
        <v>0</v>
      </c>
    </row>
    <row r="13" spans="1:8">
      <c r="A13" t="str">
        <f>'Student Enrollment Data'!A15</f>
        <v>055</v>
      </c>
      <c r="B13">
        <f>'Student Enrollment Data'!B15</f>
        <v>55</v>
      </c>
      <c r="C13" t="str">
        <f>'Student Enrollment Data'!C15</f>
        <v>Blackfoot School District # 055</v>
      </c>
      <c r="D13">
        <v>0</v>
      </c>
      <c r="E13" s="34">
        <f>IF(settings!$G$4=0,'Student Enrollment Data'!BA15,'Student Enrollment Data'!CN15)</f>
        <v>1784.5</v>
      </c>
      <c r="F13" s="34">
        <f>IF(settings!$G$4=0,'Student Enrollment Data'!BB15,'Student Enrollment Data'!CO15)</f>
        <v>1876.304475490196</v>
      </c>
      <c r="G13" s="39">
        <f t="shared" si="0"/>
        <v>3660.8044754901957</v>
      </c>
      <c r="H13">
        <f>IF(G13&lt;20000,0,IF(G13&gt;19999,settings!$Q$3,('Large District Weight'!G13*settings!$P$6)+settings!P18))</f>
        <v>0</v>
      </c>
    </row>
    <row r="14" spans="1:8">
      <c r="A14" t="str">
        <f>'Student Enrollment Data'!A16</f>
        <v>058</v>
      </c>
      <c r="B14">
        <f>'Student Enrollment Data'!B16</f>
        <v>58</v>
      </c>
      <c r="C14" t="str">
        <f>'Student Enrollment Data'!C16</f>
        <v>Aberdeen School District # 058</v>
      </c>
      <c r="D14">
        <v>0</v>
      </c>
      <c r="E14" s="34">
        <f>IF(settings!$G$4=0,'Student Enrollment Data'!BA16,'Student Enrollment Data'!CN16)</f>
        <v>367</v>
      </c>
      <c r="F14" s="34">
        <f>IF(settings!$G$4=0,'Student Enrollment Data'!BB16,'Student Enrollment Data'!CO16)</f>
        <v>335</v>
      </c>
      <c r="G14" s="39">
        <f t="shared" si="0"/>
        <v>702</v>
      </c>
      <c r="H14">
        <f>IF(G14&lt;20000,0,IF(G14&gt;19999,settings!$Q$3,('Large District Weight'!G14*settings!$P$6)+settings!P19))</f>
        <v>0</v>
      </c>
    </row>
    <row r="15" spans="1:8">
      <c r="A15" t="str">
        <f>'Student Enrollment Data'!A17</f>
        <v>059</v>
      </c>
      <c r="B15">
        <f>'Student Enrollment Data'!B17</f>
        <v>59</v>
      </c>
      <c r="C15" t="str">
        <f>'Student Enrollment Data'!C17</f>
        <v>Firth School District # 059</v>
      </c>
      <c r="D15">
        <v>0</v>
      </c>
      <c r="E15" s="34">
        <f>IF(settings!$G$4=0,'Student Enrollment Data'!BA17,'Student Enrollment Data'!CN17)</f>
        <v>421</v>
      </c>
      <c r="F15" s="34">
        <f>IF(settings!$G$4=0,'Student Enrollment Data'!BB17,'Student Enrollment Data'!CO17)</f>
        <v>390</v>
      </c>
      <c r="G15" s="39">
        <f t="shared" si="0"/>
        <v>811</v>
      </c>
      <c r="H15">
        <f>IF(G15&lt;20000,0,IF(G15&gt;19999,settings!$Q$3,('Large District Weight'!G15*settings!$P$6)+settings!P20))</f>
        <v>0</v>
      </c>
    </row>
    <row r="16" spans="1:8">
      <c r="A16" t="str">
        <f>'Student Enrollment Data'!A18</f>
        <v>060</v>
      </c>
      <c r="B16">
        <f>'Student Enrollment Data'!B18</f>
        <v>60</v>
      </c>
      <c r="C16" t="str">
        <f>'Student Enrollment Data'!C18</f>
        <v>Shelley Joint School District # 060</v>
      </c>
      <c r="D16">
        <v>0</v>
      </c>
      <c r="E16" s="34">
        <f>IF(settings!$G$4=0,'Student Enrollment Data'!BA18,'Student Enrollment Data'!CN18)</f>
        <v>1220</v>
      </c>
      <c r="F16" s="34">
        <f>IF(settings!$G$4=0,'Student Enrollment Data'!BB18,'Student Enrollment Data'!CO18)</f>
        <v>1021</v>
      </c>
      <c r="G16" s="39">
        <f t="shared" si="0"/>
        <v>2241</v>
      </c>
      <c r="H16">
        <f>IF(G16&lt;20000,0,IF(G16&gt;19999,settings!$Q$3,('Large District Weight'!G16*settings!$P$6)+settings!P21))</f>
        <v>0</v>
      </c>
    </row>
    <row r="17" spans="1:8">
      <c r="A17" t="str">
        <f>'Student Enrollment Data'!A19</f>
        <v>061</v>
      </c>
      <c r="B17">
        <f>'Student Enrollment Data'!B19</f>
        <v>61</v>
      </c>
      <c r="C17" t="str">
        <f>'Student Enrollment Data'!C19</f>
        <v>Blaine County School District # 061</v>
      </c>
      <c r="D17">
        <v>0</v>
      </c>
      <c r="E17" s="34">
        <f>IF(settings!$G$4=0,'Student Enrollment Data'!BA19,'Student Enrollment Data'!CN19)</f>
        <v>1597.5</v>
      </c>
      <c r="F17" s="34">
        <f>IF(settings!$G$4=0,'Student Enrollment Data'!BB19,'Student Enrollment Data'!CO19)</f>
        <v>1661</v>
      </c>
      <c r="G17" s="39">
        <f t="shared" si="0"/>
        <v>3258.5</v>
      </c>
      <c r="H17">
        <f>IF(G17&lt;20000,0,IF(G17&gt;19999,settings!$Q$3,('Large District Weight'!G17*settings!$P$6)+settings!P22))</f>
        <v>0</v>
      </c>
    </row>
    <row r="18" spans="1:8">
      <c r="A18" t="str">
        <f>'Student Enrollment Data'!A20</f>
        <v>071</v>
      </c>
      <c r="B18">
        <f>'Student Enrollment Data'!B20</f>
        <v>71</v>
      </c>
      <c r="C18" t="str">
        <f>'Student Enrollment Data'!C20</f>
        <v>Garden Valley School District # 071</v>
      </c>
      <c r="D18">
        <v>0</v>
      </c>
      <c r="E18" s="34">
        <f>IF(settings!$G$4=0,'Student Enrollment Data'!BA20,'Student Enrollment Data'!CN20)</f>
        <v>132</v>
      </c>
      <c r="F18" s="34">
        <f>IF(settings!$G$4=0,'Student Enrollment Data'!BB20,'Student Enrollment Data'!CO20)</f>
        <v>107</v>
      </c>
      <c r="G18" s="39">
        <f t="shared" si="0"/>
        <v>239</v>
      </c>
      <c r="H18">
        <f>IF(G18&lt;20000,0,IF(G18&gt;19999,settings!$Q$3,('Large District Weight'!G18*settings!$P$6)+settings!P23))</f>
        <v>0</v>
      </c>
    </row>
    <row r="19" spans="1:8">
      <c r="A19" t="str">
        <f>'Student Enrollment Data'!A21</f>
        <v>072</v>
      </c>
      <c r="B19">
        <f>'Student Enrollment Data'!B21</f>
        <v>72</v>
      </c>
      <c r="C19" t="str">
        <f>'Student Enrollment Data'!C21</f>
        <v>Basin School District # 072</v>
      </c>
      <c r="D19">
        <v>0</v>
      </c>
      <c r="E19" s="34">
        <f>IF(settings!$G$4=0,'Student Enrollment Data'!BA21,'Student Enrollment Data'!CN21)</f>
        <v>140.5</v>
      </c>
      <c r="F19" s="34">
        <f>IF(settings!$G$4=0,'Student Enrollment Data'!BB21,'Student Enrollment Data'!CO21)</f>
        <v>187</v>
      </c>
      <c r="G19" s="39">
        <f t="shared" si="0"/>
        <v>327.5</v>
      </c>
      <c r="H19">
        <f>IF(G19&lt;20000,0,IF(G19&gt;19999,settings!$Q$3,('Large District Weight'!G19*settings!$P$6)+settings!P24))</f>
        <v>0</v>
      </c>
    </row>
    <row r="20" spans="1:8">
      <c r="A20" t="str">
        <f>'Student Enrollment Data'!A22</f>
        <v>073</v>
      </c>
      <c r="B20">
        <f>'Student Enrollment Data'!B22</f>
        <v>73</v>
      </c>
      <c r="C20" t="str">
        <f>'Student Enrollment Data'!C22</f>
        <v>Horseshoe Bend School District # 073</v>
      </c>
      <c r="D20">
        <v>0</v>
      </c>
      <c r="E20" s="34">
        <f>IF(settings!$G$4=0,'Student Enrollment Data'!BA22,'Student Enrollment Data'!CN22)</f>
        <v>105</v>
      </c>
      <c r="F20" s="34">
        <f>IF(settings!$G$4=0,'Student Enrollment Data'!BB22,'Student Enrollment Data'!CO22)</f>
        <v>115</v>
      </c>
      <c r="G20" s="39">
        <f t="shared" si="0"/>
        <v>220</v>
      </c>
      <c r="H20">
        <f>IF(G20&lt;20000,0,IF(G20&gt;19999,settings!$Q$3,('Large District Weight'!G20*settings!$P$6)+settings!P25))</f>
        <v>0</v>
      </c>
    </row>
    <row r="21" spans="1:8">
      <c r="A21" t="str">
        <f>'Student Enrollment Data'!A23</f>
        <v>083</v>
      </c>
      <c r="B21">
        <f>'Student Enrollment Data'!B23</f>
        <v>83</v>
      </c>
      <c r="C21" t="str">
        <f>'Student Enrollment Data'!C23</f>
        <v>West Bonner County School District # 083</v>
      </c>
      <c r="D21">
        <v>0</v>
      </c>
      <c r="E21" s="34">
        <f>IF(settings!$G$4=0,'Student Enrollment Data'!BA23,'Student Enrollment Data'!CN23)</f>
        <v>498</v>
      </c>
      <c r="F21" s="34">
        <f>IF(settings!$G$4=0,'Student Enrollment Data'!BB23,'Student Enrollment Data'!CO23)</f>
        <v>443.27499999999998</v>
      </c>
      <c r="G21" s="39">
        <f t="shared" si="0"/>
        <v>941.27499999999998</v>
      </c>
      <c r="H21">
        <f>IF(G21&lt;20000,0,IF(G21&gt;19999,settings!$Q$3,('Large District Weight'!G21*settings!$P$6)+settings!P26))</f>
        <v>0</v>
      </c>
    </row>
    <row r="22" spans="1:8">
      <c r="A22" t="str">
        <f>'Student Enrollment Data'!A24</f>
        <v>084</v>
      </c>
      <c r="B22">
        <f>'Student Enrollment Data'!B24</f>
        <v>84</v>
      </c>
      <c r="C22" t="str">
        <f>'Student Enrollment Data'!C24</f>
        <v>Lake Pend Oreille School District # 084</v>
      </c>
      <c r="D22">
        <v>0</v>
      </c>
      <c r="E22" s="34">
        <f>IF(settings!$G$4=0,'Student Enrollment Data'!BA24,'Student Enrollment Data'!CN24)</f>
        <v>1928</v>
      </c>
      <c r="F22" s="34">
        <f>IF(settings!$G$4=0,'Student Enrollment Data'!BB24,'Student Enrollment Data'!CO24)</f>
        <v>1748.8495798319327</v>
      </c>
      <c r="G22" s="39">
        <f t="shared" si="0"/>
        <v>3676.8495798319327</v>
      </c>
      <c r="H22">
        <f>IF(G22&lt;20000,0,IF(G22&gt;19999,settings!$Q$3,('Large District Weight'!G22*settings!$P$6)+settings!P27))</f>
        <v>0</v>
      </c>
    </row>
    <row r="23" spans="1:8">
      <c r="A23" t="str">
        <f>'Student Enrollment Data'!A25</f>
        <v>091</v>
      </c>
      <c r="B23">
        <f>'Student Enrollment Data'!B25</f>
        <v>91</v>
      </c>
      <c r="C23" t="str">
        <f>'Student Enrollment Data'!C25</f>
        <v>Idaho Falls School District # 091</v>
      </c>
      <c r="D23">
        <v>0</v>
      </c>
      <c r="E23" s="34">
        <f>IF(settings!$G$4=0,'Student Enrollment Data'!BA25,'Student Enrollment Data'!CN25)</f>
        <v>4980.5</v>
      </c>
      <c r="F23" s="34">
        <f>IF(settings!$G$4=0,'Student Enrollment Data'!BB25,'Student Enrollment Data'!CO25)</f>
        <v>4817.1269688203147</v>
      </c>
      <c r="G23" s="39">
        <f t="shared" si="0"/>
        <v>9797.6269688203138</v>
      </c>
      <c r="H23">
        <f>IF(G23&lt;20000,0,IF(G23&gt;19999,settings!$Q$3,('Large District Weight'!G23*settings!$P$6)+settings!P28))</f>
        <v>0</v>
      </c>
    </row>
    <row r="24" spans="1:8">
      <c r="A24" t="str">
        <f>'Student Enrollment Data'!A26</f>
        <v>092</v>
      </c>
      <c r="B24">
        <f>'Student Enrollment Data'!B26</f>
        <v>92</v>
      </c>
      <c r="C24" t="str">
        <f>'Student Enrollment Data'!C26</f>
        <v>Swan Valley Elementary School District # 092</v>
      </c>
      <c r="D24">
        <v>0</v>
      </c>
      <c r="E24" s="34">
        <f>IF(settings!$G$4=0,'Student Enrollment Data'!BA26,'Student Enrollment Data'!CN26)</f>
        <v>31.5</v>
      </c>
      <c r="F24" s="34">
        <f>IF(settings!$G$4=0,'Student Enrollment Data'!BB26,'Student Enrollment Data'!CO26)</f>
        <v>9</v>
      </c>
      <c r="G24" s="39">
        <f t="shared" si="0"/>
        <v>40.5</v>
      </c>
      <c r="H24">
        <f>IF(G24&lt;20000,0,IF(G24&gt;19999,settings!$Q$3,('Large District Weight'!G24*settings!$P$6)+settings!P29))</f>
        <v>0</v>
      </c>
    </row>
    <row r="25" spans="1:8">
      <c r="A25" t="str">
        <f>'Student Enrollment Data'!A27</f>
        <v>093</v>
      </c>
      <c r="B25">
        <f>'Student Enrollment Data'!B27</f>
        <v>93</v>
      </c>
      <c r="C25" t="str">
        <f>'Student Enrollment Data'!C27</f>
        <v>Bonneville Joint School District # 093</v>
      </c>
      <c r="D25">
        <v>0</v>
      </c>
      <c r="E25" s="34">
        <f>IF(settings!$G$4=0,'Student Enrollment Data'!BA27,'Student Enrollment Data'!CN27)</f>
        <v>6403.5</v>
      </c>
      <c r="F25" s="34">
        <f>IF(settings!$G$4=0,'Student Enrollment Data'!BB27,'Student Enrollment Data'!CO27)</f>
        <v>5936.7014705882357</v>
      </c>
      <c r="G25" s="39">
        <f t="shared" si="0"/>
        <v>12340.201470588236</v>
      </c>
      <c r="H25">
        <f>IF(G25&lt;20000,0,IF(G25&gt;19999,settings!$Q$3,('Large District Weight'!G25*settings!$P$6)+settings!P30))</f>
        <v>0</v>
      </c>
    </row>
    <row r="26" spans="1:8">
      <c r="A26" t="str">
        <f>'Student Enrollment Data'!A28</f>
        <v>101</v>
      </c>
      <c r="B26">
        <f>'Student Enrollment Data'!B28</f>
        <v>101</v>
      </c>
      <c r="C26" t="str">
        <f>'Student Enrollment Data'!C28</f>
        <v>Boundary County School District # 101</v>
      </c>
      <c r="D26">
        <v>0</v>
      </c>
      <c r="E26" s="34">
        <f>IF(settings!$G$4=0,'Student Enrollment Data'!BA28,'Student Enrollment Data'!CN28)</f>
        <v>692.5</v>
      </c>
      <c r="F26" s="34">
        <f>IF(settings!$G$4=0,'Student Enrollment Data'!BB28,'Student Enrollment Data'!CO28)</f>
        <v>672.5419117647059</v>
      </c>
      <c r="G26" s="39">
        <f t="shared" si="0"/>
        <v>1365.0419117647059</v>
      </c>
      <c r="H26">
        <f>IF(G26&lt;20000,0,IF(G26&gt;19999,settings!$Q$3,('Large District Weight'!G26*settings!$P$6)+settings!P31))</f>
        <v>0</v>
      </c>
    </row>
    <row r="27" spans="1:8">
      <c r="A27" t="str">
        <f>'Student Enrollment Data'!A29</f>
        <v>111</v>
      </c>
      <c r="B27">
        <f>'Student Enrollment Data'!B29</f>
        <v>111</v>
      </c>
      <c r="C27" t="str">
        <f>'Student Enrollment Data'!C29</f>
        <v>Butte County Joint School District # 111</v>
      </c>
      <c r="D27">
        <v>0</v>
      </c>
      <c r="E27" s="34">
        <f>IF(settings!$G$4=0,'Student Enrollment Data'!BA29,'Student Enrollment Data'!CN29)</f>
        <v>219</v>
      </c>
      <c r="F27" s="34">
        <f>IF(settings!$G$4=0,'Student Enrollment Data'!BB29,'Student Enrollment Data'!CO29)</f>
        <v>183</v>
      </c>
      <c r="G27" s="39">
        <f t="shared" si="0"/>
        <v>402</v>
      </c>
      <c r="H27">
        <f>IF(G27&lt;20000,0,IF(G27&gt;19999,settings!$Q$3,('Large District Weight'!G27*settings!$P$6)+settings!P32))</f>
        <v>0</v>
      </c>
    </row>
    <row r="28" spans="1:8">
      <c r="A28" t="str">
        <f>'Student Enrollment Data'!A30</f>
        <v>121</v>
      </c>
      <c r="B28">
        <f>'Student Enrollment Data'!B30</f>
        <v>121</v>
      </c>
      <c r="C28" t="str">
        <f>'Student Enrollment Data'!C30</f>
        <v>Camas County School District # 121</v>
      </c>
      <c r="D28">
        <v>0</v>
      </c>
      <c r="E28" s="34">
        <f>IF(settings!$G$4=0,'Student Enrollment Data'!BA30,'Student Enrollment Data'!CN30)</f>
        <v>90.5</v>
      </c>
      <c r="F28" s="34">
        <f>IF(settings!$G$4=0,'Student Enrollment Data'!BB30,'Student Enrollment Data'!CO30)</f>
        <v>100</v>
      </c>
      <c r="G28" s="39">
        <f t="shared" si="0"/>
        <v>190.5</v>
      </c>
      <c r="H28">
        <f>IF(G28&lt;20000,0,IF(G28&gt;19999,settings!$Q$3,('Large District Weight'!G28*settings!$P$6)+settings!P33))</f>
        <v>0</v>
      </c>
    </row>
    <row r="29" spans="1:8">
      <c r="A29" t="str">
        <f>'Student Enrollment Data'!A31</f>
        <v>131</v>
      </c>
      <c r="B29">
        <f>'Student Enrollment Data'!B31</f>
        <v>131</v>
      </c>
      <c r="C29" t="str">
        <f>'Student Enrollment Data'!C31</f>
        <v>Nampa School District # 131</v>
      </c>
      <c r="D29">
        <v>0</v>
      </c>
      <c r="E29" s="34">
        <f>IF(settings!$G$4=0,'Student Enrollment Data'!BA31,'Student Enrollment Data'!CN31)</f>
        <v>6793.5901558823525</v>
      </c>
      <c r="F29" s="34">
        <f>IF(settings!$G$4=0,'Student Enrollment Data'!BB31,'Student Enrollment Data'!CO31)</f>
        <v>6669.0457450980393</v>
      </c>
      <c r="G29" s="39">
        <f t="shared" si="0"/>
        <v>13462.635900980393</v>
      </c>
      <c r="H29">
        <f>IF(G29&lt;20000,0,IF(G29&gt;19999,settings!$Q$3,('Large District Weight'!G29*settings!$P$6)+settings!P34))</f>
        <v>0</v>
      </c>
    </row>
    <row r="30" spans="1:8">
      <c r="A30" t="str">
        <f>'Student Enrollment Data'!A32</f>
        <v>132</v>
      </c>
      <c r="B30">
        <f>'Student Enrollment Data'!B32</f>
        <v>132</v>
      </c>
      <c r="C30" t="str">
        <f>'Student Enrollment Data'!C32</f>
        <v>Caldwell School District # 132</v>
      </c>
      <c r="D30">
        <v>0</v>
      </c>
      <c r="E30" s="34">
        <f>IF(settings!$G$4=0,'Student Enrollment Data'!BA32,'Student Enrollment Data'!CN32)</f>
        <v>3298.9605154965211</v>
      </c>
      <c r="F30" s="34">
        <f>IF(settings!$G$4=0,'Student Enrollment Data'!BB32,'Student Enrollment Data'!CO32)</f>
        <v>2811.0604048070841</v>
      </c>
      <c r="G30" s="39">
        <f t="shared" si="0"/>
        <v>6110.0209203036047</v>
      </c>
      <c r="H30">
        <f>IF(G30&lt;20000,0,IF(G30&gt;19999,settings!$Q$3,('Large District Weight'!G30*settings!$P$6)+settings!P35))</f>
        <v>0</v>
      </c>
    </row>
    <row r="31" spans="1:8">
      <c r="A31" t="str">
        <f>'Student Enrollment Data'!A33</f>
        <v>133</v>
      </c>
      <c r="B31">
        <f>'Student Enrollment Data'!B33</f>
        <v>133</v>
      </c>
      <c r="C31" t="str">
        <f>'Student Enrollment Data'!C33</f>
        <v>Wilder School District # 133</v>
      </c>
      <c r="D31">
        <v>0</v>
      </c>
      <c r="E31" s="34">
        <f>IF(settings!$G$4=0,'Student Enrollment Data'!BA33,'Student Enrollment Data'!CN33)</f>
        <v>275.5</v>
      </c>
      <c r="F31" s="34">
        <f>IF(settings!$G$4=0,'Student Enrollment Data'!BB33,'Student Enrollment Data'!CO33)</f>
        <v>224</v>
      </c>
      <c r="G31" s="39">
        <f t="shared" si="0"/>
        <v>499.5</v>
      </c>
      <c r="H31">
        <f>IF(G31&lt;20000,0,IF(G31&gt;19999,settings!$Q$3,('Large District Weight'!G31*settings!$P$6)+settings!P36))</f>
        <v>0</v>
      </c>
    </row>
    <row r="32" spans="1:8">
      <c r="A32" t="str">
        <f>'Student Enrollment Data'!A34</f>
        <v>134</v>
      </c>
      <c r="B32">
        <f>'Student Enrollment Data'!B34</f>
        <v>134</v>
      </c>
      <c r="C32" t="str">
        <f>'Student Enrollment Data'!C34</f>
        <v>Middleton School District # 134</v>
      </c>
      <c r="D32">
        <v>0</v>
      </c>
      <c r="E32" s="34">
        <f>IF(settings!$G$4=0,'Student Enrollment Data'!BA34,'Student Enrollment Data'!CN34)</f>
        <v>1930.5857843137255</v>
      </c>
      <c r="F32" s="34">
        <f>IF(settings!$G$4=0,'Student Enrollment Data'!BB34,'Student Enrollment Data'!CO34)</f>
        <v>1999.6617647058824</v>
      </c>
      <c r="G32" s="39">
        <f t="shared" si="0"/>
        <v>3930.247549019608</v>
      </c>
      <c r="H32">
        <f>IF(G32&lt;20000,0,IF(G32&gt;19999,settings!$Q$3,('Large District Weight'!G32*settings!$P$6)+settings!P37))</f>
        <v>0</v>
      </c>
    </row>
    <row r="33" spans="1:8">
      <c r="A33" t="str">
        <f>'Student Enrollment Data'!A35</f>
        <v>135</v>
      </c>
      <c r="B33">
        <f>'Student Enrollment Data'!B35</f>
        <v>135</v>
      </c>
      <c r="C33" t="str">
        <f>'Student Enrollment Data'!C35</f>
        <v>Notus School District # 135</v>
      </c>
      <c r="D33">
        <v>0</v>
      </c>
      <c r="E33" s="34">
        <f>IF(settings!$G$4=0,'Student Enrollment Data'!BA35,'Student Enrollment Data'!CN35)</f>
        <v>196.5</v>
      </c>
      <c r="F33" s="34">
        <f>IF(settings!$G$4=0,'Student Enrollment Data'!BB35,'Student Enrollment Data'!CO35)</f>
        <v>217</v>
      </c>
      <c r="G33" s="39">
        <f t="shared" si="0"/>
        <v>413.5</v>
      </c>
      <c r="H33">
        <f>IF(G33&lt;20000,0,IF(G33&gt;19999,settings!$Q$3,('Large District Weight'!G33*settings!$P$6)+settings!P38))</f>
        <v>0</v>
      </c>
    </row>
    <row r="34" spans="1:8">
      <c r="A34" t="str">
        <f>'Student Enrollment Data'!A36</f>
        <v>136</v>
      </c>
      <c r="B34">
        <f>'Student Enrollment Data'!B36</f>
        <v>136</v>
      </c>
      <c r="C34" t="str">
        <f>'Student Enrollment Data'!C36</f>
        <v>Melba Joint School District # 136</v>
      </c>
      <c r="D34">
        <v>0</v>
      </c>
      <c r="E34" s="34">
        <f>IF(settings!$G$4=0,'Student Enrollment Data'!BA36,'Student Enrollment Data'!CN36)</f>
        <v>404</v>
      </c>
      <c r="F34" s="34">
        <f>IF(settings!$G$4=0,'Student Enrollment Data'!BB36,'Student Enrollment Data'!CO36)</f>
        <v>433</v>
      </c>
      <c r="G34" s="39">
        <f t="shared" si="0"/>
        <v>837</v>
      </c>
      <c r="H34">
        <f>IF(G34&lt;20000,0,IF(G34&gt;19999,settings!$Q$3,('Large District Weight'!G34*settings!$P$6)+settings!P39))</f>
        <v>0</v>
      </c>
    </row>
    <row r="35" spans="1:8">
      <c r="A35" t="str">
        <f>'Student Enrollment Data'!A37</f>
        <v>137</v>
      </c>
      <c r="B35">
        <f>'Student Enrollment Data'!B37</f>
        <v>137</v>
      </c>
      <c r="C35" t="str">
        <f>'Student Enrollment Data'!C37</f>
        <v>Parma School District # 137</v>
      </c>
      <c r="D35">
        <v>0</v>
      </c>
      <c r="E35" s="34">
        <f>IF(settings!$G$4=0,'Student Enrollment Data'!BA37,'Student Enrollment Data'!CN37)</f>
        <v>526</v>
      </c>
      <c r="F35" s="34">
        <f>IF(settings!$G$4=0,'Student Enrollment Data'!BB37,'Student Enrollment Data'!CO37)</f>
        <v>505</v>
      </c>
      <c r="G35" s="39">
        <f t="shared" si="0"/>
        <v>1031</v>
      </c>
      <c r="H35">
        <f>IF(G35&lt;20000,0,IF(G35&gt;19999,settings!$Q$3,('Large District Weight'!G35*settings!$P$6)+settings!P40))</f>
        <v>0</v>
      </c>
    </row>
    <row r="36" spans="1:8">
      <c r="A36" t="str">
        <f>'Student Enrollment Data'!A38</f>
        <v>139</v>
      </c>
      <c r="B36">
        <f>'Student Enrollment Data'!B38</f>
        <v>139</v>
      </c>
      <c r="C36" t="str">
        <f>'Student Enrollment Data'!C38</f>
        <v>Vallivue School District # 139</v>
      </c>
      <c r="D36">
        <v>0</v>
      </c>
      <c r="E36" s="34">
        <f>IF(settings!$G$4=0,'Student Enrollment Data'!BA38,'Student Enrollment Data'!CN38)</f>
        <v>4628.9443627450983</v>
      </c>
      <c r="F36" s="34">
        <f>IF(settings!$G$4=0,'Student Enrollment Data'!BB38,'Student Enrollment Data'!CO38)</f>
        <v>4060.2210784313725</v>
      </c>
      <c r="G36" s="39">
        <f t="shared" si="0"/>
        <v>8689.1654411764703</v>
      </c>
      <c r="H36">
        <f>IF(G36&lt;20000,0,IF(G36&gt;19999,settings!$Q$3,('Large District Weight'!G36*settings!$P$6)+settings!P41))</f>
        <v>0</v>
      </c>
    </row>
    <row r="37" spans="1:8">
      <c r="A37" t="str">
        <f>'Student Enrollment Data'!A39</f>
        <v>148</v>
      </c>
      <c r="B37">
        <f>'Student Enrollment Data'!B39</f>
        <v>148</v>
      </c>
      <c r="C37" t="str">
        <f>'Student Enrollment Data'!C39</f>
        <v>Grace Joint School District # 148</v>
      </c>
      <c r="D37">
        <v>0</v>
      </c>
      <c r="E37" s="34">
        <f>IF(settings!$G$4=0,'Student Enrollment Data'!BA39,'Student Enrollment Data'!CN39)</f>
        <v>271.5</v>
      </c>
      <c r="F37" s="34">
        <f>IF(settings!$G$4=0,'Student Enrollment Data'!BB39,'Student Enrollment Data'!CO39)</f>
        <v>231</v>
      </c>
      <c r="G37" s="39">
        <f t="shared" si="0"/>
        <v>502.5</v>
      </c>
      <c r="H37">
        <f>IF(G37&lt;20000,0,IF(G37&gt;19999,settings!$Q$3,('Large District Weight'!G37*settings!$P$6)+settings!P42))</f>
        <v>0</v>
      </c>
    </row>
    <row r="38" spans="1:8">
      <c r="A38" t="str">
        <f>'Student Enrollment Data'!A40</f>
        <v>149</v>
      </c>
      <c r="B38">
        <f>'Student Enrollment Data'!B40</f>
        <v>149</v>
      </c>
      <c r="C38" t="str">
        <f>'Student Enrollment Data'!C40</f>
        <v>North Gem School District # 149</v>
      </c>
      <c r="D38">
        <v>0</v>
      </c>
      <c r="E38" s="34">
        <f>IF(settings!$G$4=0,'Student Enrollment Data'!BA40,'Student Enrollment Data'!CN40)</f>
        <v>76</v>
      </c>
      <c r="F38" s="34">
        <f>IF(settings!$G$4=0,'Student Enrollment Data'!BB40,'Student Enrollment Data'!CO40)</f>
        <v>100</v>
      </c>
      <c r="G38" s="39">
        <f t="shared" si="0"/>
        <v>176</v>
      </c>
      <c r="H38">
        <f>IF(G38&lt;20000,0,IF(G38&gt;19999,settings!$Q$3,('Large District Weight'!G38*settings!$P$6)+settings!P43))</f>
        <v>0</v>
      </c>
    </row>
    <row r="39" spans="1:8">
      <c r="A39" t="str">
        <f>'Student Enrollment Data'!A41</f>
        <v>150</v>
      </c>
      <c r="B39">
        <f>'Student Enrollment Data'!B41</f>
        <v>150</v>
      </c>
      <c r="C39" t="str">
        <f>'Student Enrollment Data'!C41</f>
        <v>Soda Springs Joint School District # 150</v>
      </c>
      <c r="D39">
        <v>0</v>
      </c>
      <c r="E39" s="34">
        <f>IF(settings!$G$4=0,'Student Enrollment Data'!BA41,'Student Enrollment Data'!CN41)</f>
        <v>462</v>
      </c>
      <c r="F39" s="34">
        <f>IF(settings!$G$4=0,'Student Enrollment Data'!BB41,'Student Enrollment Data'!CO41)</f>
        <v>389</v>
      </c>
      <c r="G39" s="39">
        <f t="shared" si="0"/>
        <v>851</v>
      </c>
      <c r="H39">
        <f>IF(G39&lt;20000,0,IF(G39&gt;19999,settings!$Q$3,('Large District Weight'!G39*settings!$P$6)+settings!P44))</f>
        <v>0</v>
      </c>
    </row>
    <row r="40" spans="1:8">
      <c r="A40" t="str">
        <f>'Student Enrollment Data'!A42</f>
        <v>151</v>
      </c>
      <c r="B40">
        <f>'Student Enrollment Data'!B42</f>
        <v>151</v>
      </c>
      <c r="C40" t="str">
        <f>'Student Enrollment Data'!C42</f>
        <v>Cassia County Joint School District # 151</v>
      </c>
      <c r="D40">
        <v>0</v>
      </c>
      <c r="E40" s="34">
        <f>IF(settings!$G$4=0,'Student Enrollment Data'!BA42,'Student Enrollment Data'!CN42)</f>
        <v>2752</v>
      </c>
      <c r="F40" s="34">
        <f>IF(settings!$G$4=0,'Student Enrollment Data'!BB42,'Student Enrollment Data'!CO42)</f>
        <v>2493.4730392156862</v>
      </c>
      <c r="G40" s="39">
        <f t="shared" si="0"/>
        <v>5245.4730392156862</v>
      </c>
      <c r="H40">
        <f>IF(G40&lt;20000,0,IF(G40&gt;19999,settings!$Q$3,('Large District Weight'!G40*settings!$P$6)+settings!P45))</f>
        <v>0</v>
      </c>
    </row>
    <row r="41" spans="1:8">
      <c r="A41" t="str">
        <f>'Student Enrollment Data'!A43</f>
        <v>161</v>
      </c>
      <c r="B41">
        <f>'Student Enrollment Data'!B43</f>
        <v>161</v>
      </c>
      <c r="C41" t="str">
        <f>'Student Enrollment Data'!C43</f>
        <v>Clark County Joint School District # 161</v>
      </c>
      <c r="D41">
        <v>0</v>
      </c>
      <c r="E41" s="34">
        <f>IF(settings!$G$4=0,'Student Enrollment Data'!BA43,'Student Enrollment Data'!CN43)</f>
        <v>54</v>
      </c>
      <c r="F41" s="34">
        <f>IF(settings!$G$4=0,'Student Enrollment Data'!BB43,'Student Enrollment Data'!CO43)</f>
        <v>100</v>
      </c>
      <c r="G41" s="39">
        <f t="shared" si="0"/>
        <v>154</v>
      </c>
      <c r="H41">
        <f>IF(G41&lt;20000,0,IF(G41&gt;19999,settings!$Q$3,('Large District Weight'!G41*settings!$P$6)+settings!P46))</f>
        <v>0</v>
      </c>
    </row>
    <row r="42" spans="1:8">
      <c r="A42" t="str">
        <f>'Student Enrollment Data'!A44</f>
        <v>171</v>
      </c>
      <c r="B42">
        <f>'Student Enrollment Data'!B44</f>
        <v>171</v>
      </c>
      <c r="C42" t="str">
        <f>'Student Enrollment Data'!C44</f>
        <v>Orofino Joint School District # 171</v>
      </c>
      <c r="D42">
        <v>0</v>
      </c>
      <c r="E42" s="34">
        <f>IF(settings!$G$4=0,'Student Enrollment Data'!BA44,'Student Enrollment Data'!CN44)</f>
        <v>514</v>
      </c>
      <c r="F42" s="34">
        <f>IF(settings!$G$4=0,'Student Enrollment Data'!BB44,'Student Enrollment Data'!CO44)</f>
        <v>473</v>
      </c>
      <c r="G42" s="39">
        <f t="shared" si="0"/>
        <v>987</v>
      </c>
      <c r="H42">
        <f>IF(G42&lt;20000,0,IF(G42&gt;19999,settings!$Q$3,('Large District Weight'!G42*settings!$P$6)+settings!P47))</f>
        <v>0</v>
      </c>
    </row>
    <row r="43" spans="1:8">
      <c r="A43" t="str">
        <f>'Student Enrollment Data'!A45</f>
        <v>181</v>
      </c>
      <c r="B43">
        <f>'Student Enrollment Data'!B45</f>
        <v>181</v>
      </c>
      <c r="C43" t="str">
        <f>'Student Enrollment Data'!C45</f>
        <v>Challis Joint School District # 181</v>
      </c>
      <c r="D43">
        <v>0</v>
      </c>
      <c r="E43" s="34">
        <f>IF(settings!$G$4=0,'Student Enrollment Data'!BA45,'Student Enrollment Data'!CN45)</f>
        <v>162.5</v>
      </c>
      <c r="F43" s="34">
        <f>IF(settings!$G$4=0,'Student Enrollment Data'!BB45,'Student Enrollment Data'!CO45)</f>
        <v>175</v>
      </c>
      <c r="G43" s="39">
        <f t="shared" si="0"/>
        <v>337.5</v>
      </c>
      <c r="H43">
        <f>IF(G43&lt;20000,0,IF(G43&gt;19999,settings!$Q$3,('Large District Weight'!G43*settings!$P$6)+settings!P48))</f>
        <v>0</v>
      </c>
    </row>
    <row r="44" spans="1:8">
      <c r="A44" t="str">
        <f>'Student Enrollment Data'!A46</f>
        <v>182</v>
      </c>
      <c r="B44">
        <f>'Student Enrollment Data'!B46</f>
        <v>182</v>
      </c>
      <c r="C44" t="str">
        <f>'Student Enrollment Data'!C46</f>
        <v>Mackay Joint School District # 182</v>
      </c>
      <c r="D44">
        <v>0</v>
      </c>
      <c r="E44" s="34">
        <f>IF(settings!$G$4=0,'Student Enrollment Data'!BA46,'Student Enrollment Data'!CN46)</f>
        <v>115</v>
      </c>
      <c r="F44" s="34">
        <f>IF(settings!$G$4=0,'Student Enrollment Data'!BB46,'Student Enrollment Data'!CO46)</f>
        <v>100</v>
      </c>
      <c r="G44" s="39">
        <f t="shared" si="0"/>
        <v>215</v>
      </c>
      <c r="H44">
        <f>IF(G44&lt;20000,0,IF(G44&gt;19999,settings!$Q$3,('Large District Weight'!G44*settings!$P$6)+settings!P49))</f>
        <v>0</v>
      </c>
    </row>
    <row r="45" spans="1:8">
      <c r="A45" t="str">
        <f>'Student Enrollment Data'!A47</f>
        <v>191</v>
      </c>
      <c r="B45">
        <f>'Student Enrollment Data'!B47</f>
        <v>191</v>
      </c>
      <c r="C45" t="str">
        <f>'Student Enrollment Data'!C47</f>
        <v>Prairie Elementary School District # 191</v>
      </c>
      <c r="D45">
        <v>0</v>
      </c>
      <c r="E45" s="34">
        <f>IF(settings!$G$4=0,'Student Enrollment Data'!BA47,'Student Enrollment Data'!CN47)</f>
        <v>2</v>
      </c>
      <c r="F45" s="34">
        <f>IF(settings!$G$4=0,'Student Enrollment Data'!BB47,'Student Enrollment Data'!CO47)</f>
        <v>0</v>
      </c>
      <c r="G45" s="39">
        <f t="shared" si="0"/>
        <v>2</v>
      </c>
      <c r="H45">
        <f>IF(G45&lt;20000,0,IF(G45&gt;19999,settings!$Q$3,('Large District Weight'!G45*settings!$P$6)+settings!P50))</f>
        <v>0</v>
      </c>
    </row>
    <row r="46" spans="1:8">
      <c r="A46" t="str">
        <f>'Student Enrollment Data'!A48</f>
        <v>192</v>
      </c>
      <c r="B46">
        <f>'Student Enrollment Data'!B48</f>
        <v>192</v>
      </c>
      <c r="C46" t="str">
        <f>'Student Enrollment Data'!C48</f>
        <v>Glenns Ferry Joint School District # 192</v>
      </c>
      <c r="D46">
        <v>0</v>
      </c>
      <c r="E46" s="34">
        <f>IF(settings!$G$4=0,'Student Enrollment Data'!BA48,'Student Enrollment Data'!CN48)</f>
        <v>199.5</v>
      </c>
      <c r="F46" s="34">
        <f>IF(settings!$G$4=0,'Student Enrollment Data'!BB48,'Student Enrollment Data'!CO48)</f>
        <v>184</v>
      </c>
      <c r="G46" s="39">
        <f t="shared" si="0"/>
        <v>383.5</v>
      </c>
      <c r="H46">
        <f>IF(G46&lt;20000,0,IF(G46&gt;19999,settings!$Q$3,('Large District Weight'!G46*settings!$P$6)+settings!P51))</f>
        <v>0</v>
      </c>
    </row>
    <row r="47" spans="1:8">
      <c r="A47" t="str">
        <f>'Student Enrollment Data'!A49</f>
        <v>193</v>
      </c>
      <c r="B47">
        <f>'Student Enrollment Data'!B49</f>
        <v>193</v>
      </c>
      <c r="C47" t="str">
        <f>'Student Enrollment Data'!C49</f>
        <v>Mountain Home School District # 193</v>
      </c>
      <c r="D47">
        <v>0</v>
      </c>
      <c r="E47" s="34">
        <f>IF(settings!$G$4=0,'Student Enrollment Data'!BA49,'Student Enrollment Data'!CN49)</f>
        <v>2047.5</v>
      </c>
      <c r="F47" s="34">
        <f>IF(settings!$G$4=0,'Student Enrollment Data'!BB49,'Student Enrollment Data'!CO49)</f>
        <v>1694.8647058823528</v>
      </c>
      <c r="G47" s="39">
        <f t="shared" si="0"/>
        <v>3742.3647058823526</v>
      </c>
      <c r="H47">
        <f>IF(G47&lt;20000,0,IF(G47&gt;19999,settings!$Q$3,('Large District Weight'!G47*settings!$P$6)+settings!P52))</f>
        <v>0</v>
      </c>
    </row>
    <row r="48" spans="1:8">
      <c r="A48" t="str">
        <f>'Student Enrollment Data'!A50</f>
        <v>201</v>
      </c>
      <c r="B48">
        <f>'Student Enrollment Data'!B50</f>
        <v>201</v>
      </c>
      <c r="C48" t="str">
        <f>'Student Enrollment Data'!C50</f>
        <v>Preston Joint School District # 201</v>
      </c>
      <c r="D48">
        <v>0</v>
      </c>
      <c r="E48" s="34">
        <f>IF(settings!$G$4=0,'Student Enrollment Data'!BA50,'Student Enrollment Data'!CN50)</f>
        <v>1104.9950980392157</v>
      </c>
      <c r="F48" s="34">
        <f>IF(settings!$G$4=0,'Student Enrollment Data'!BB50,'Student Enrollment Data'!CO50)</f>
        <v>1150.1191176470588</v>
      </c>
      <c r="G48" s="39">
        <f t="shared" si="0"/>
        <v>2255.1142156862743</v>
      </c>
      <c r="H48">
        <f>IF(G48&lt;20000,0,IF(G48&gt;19999,settings!$Q$3,('Large District Weight'!G48*settings!$P$6)+settings!P53))</f>
        <v>0</v>
      </c>
    </row>
    <row r="49" spans="1:8">
      <c r="A49" t="str">
        <f>'Student Enrollment Data'!A51</f>
        <v>202</v>
      </c>
      <c r="B49">
        <f>'Student Enrollment Data'!B51</f>
        <v>202</v>
      </c>
      <c r="C49" t="str">
        <f>'Student Enrollment Data'!C51</f>
        <v>West Side Joint School District # 202</v>
      </c>
      <c r="D49">
        <v>0</v>
      </c>
      <c r="E49" s="34">
        <f>IF(settings!$G$4=0,'Student Enrollment Data'!BA51,'Student Enrollment Data'!CN51)</f>
        <v>400</v>
      </c>
      <c r="F49" s="34">
        <f>IF(settings!$G$4=0,'Student Enrollment Data'!BB51,'Student Enrollment Data'!CO51)</f>
        <v>321</v>
      </c>
      <c r="G49" s="39">
        <f t="shared" si="0"/>
        <v>721</v>
      </c>
      <c r="H49">
        <f>IF(G49&lt;20000,0,IF(G49&gt;19999,settings!$Q$3,('Large District Weight'!G49*settings!$P$6)+settings!P54))</f>
        <v>0</v>
      </c>
    </row>
    <row r="50" spans="1:8">
      <c r="A50" t="str">
        <f>'Student Enrollment Data'!A52</f>
        <v>215</v>
      </c>
      <c r="B50">
        <f>'Student Enrollment Data'!B52</f>
        <v>215</v>
      </c>
      <c r="C50" t="str">
        <f>'Student Enrollment Data'!C52</f>
        <v>Fremont County Joint School District # 215</v>
      </c>
      <c r="D50">
        <v>0</v>
      </c>
      <c r="E50" s="34">
        <f>IF(settings!$G$4=0,'Student Enrollment Data'!BA52,'Student Enrollment Data'!CN52)</f>
        <v>1087</v>
      </c>
      <c r="F50" s="34">
        <f>IF(settings!$G$4=0,'Student Enrollment Data'!BB52,'Student Enrollment Data'!CO52)</f>
        <v>1018</v>
      </c>
      <c r="G50" s="39">
        <f t="shared" si="0"/>
        <v>2105</v>
      </c>
      <c r="H50">
        <f>IF(G50&lt;20000,0,IF(G50&gt;19999,settings!$Q$3,('Large District Weight'!G50*settings!$P$6)+settings!P55))</f>
        <v>0</v>
      </c>
    </row>
    <row r="51" spans="1:8">
      <c r="A51" t="str">
        <f>'Student Enrollment Data'!A53</f>
        <v>221</v>
      </c>
      <c r="B51">
        <f>'Student Enrollment Data'!B53</f>
        <v>221</v>
      </c>
      <c r="C51" t="str">
        <f>'Student Enrollment Data'!C53</f>
        <v>Emmett Independent School District # 221</v>
      </c>
      <c r="D51">
        <v>0</v>
      </c>
      <c r="E51" s="34">
        <f>IF(settings!$G$4=0,'Student Enrollment Data'!BA53,'Student Enrollment Data'!CN53)</f>
        <v>1314.5</v>
      </c>
      <c r="F51" s="34">
        <f>IF(settings!$G$4=0,'Student Enrollment Data'!BB53,'Student Enrollment Data'!CO53)</f>
        <v>1018.5426470588235</v>
      </c>
      <c r="G51" s="39">
        <f t="shared" si="0"/>
        <v>2333.0426470588236</v>
      </c>
      <c r="H51">
        <f>IF(G51&lt;20000,0,IF(G51&gt;19999,settings!$Q$3,('Large District Weight'!G51*settings!$P$6)+settings!P56))</f>
        <v>0</v>
      </c>
    </row>
    <row r="52" spans="1:8">
      <c r="A52" t="str">
        <f>'Student Enrollment Data'!A54</f>
        <v>231</v>
      </c>
      <c r="B52">
        <f>'Student Enrollment Data'!B54</f>
        <v>231</v>
      </c>
      <c r="C52" t="str">
        <f>'Student Enrollment Data'!C54</f>
        <v>Gooding Joint School District # 231</v>
      </c>
      <c r="D52">
        <v>0</v>
      </c>
      <c r="E52" s="34">
        <f>IF(settings!$G$4=0,'Student Enrollment Data'!BA54,'Student Enrollment Data'!CN54)</f>
        <v>682.5</v>
      </c>
      <c r="F52" s="34">
        <f>IF(settings!$G$4=0,'Student Enrollment Data'!BB54,'Student Enrollment Data'!CO54)</f>
        <v>624</v>
      </c>
      <c r="G52" s="39">
        <f t="shared" si="0"/>
        <v>1306.5</v>
      </c>
      <c r="H52">
        <f>IF(G52&lt;20000,0,IF(G52&gt;19999,settings!$Q$3,('Large District Weight'!G52*settings!$P$6)+settings!P57))</f>
        <v>0</v>
      </c>
    </row>
    <row r="53" spans="1:8">
      <c r="A53" t="str">
        <f>'Student Enrollment Data'!A55</f>
        <v>232</v>
      </c>
      <c r="B53">
        <f>'Student Enrollment Data'!B55</f>
        <v>232</v>
      </c>
      <c r="C53" t="str">
        <f>'Student Enrollment Data'!C55</f>
        <v>Wendell School District # 232</v>
      </c>
      <c r="D53">
        <v>0</v>
      </c>
      <c r="E53" s="34">
        <f>IF(settings!$G$4=0,'Student Enrollment Data'!BA55,'Student Enrollment Data'!CN55)</f>
        <v>551</v>
      </c>
      <c r="F53" s="34">
        <f>IF(settings!$G$4=0,'Student Enrollment Data'!BB55,'Student Enrollment Data'!CO55)</f>
        <v>472</v>
      </c>
      <c r="G53" s="39">
        <f t="shared" si="0"/>
        <v>1023</v>
      </c>
      <c r="H53">
        <f>IF(G53&lt;20000,0,IF(G53&gt;19999,settings!$Q$3,('Large District Weight'!G53*settings!$P$6)+settings!P58))</f>
        <v>0</v>
      </c>
    </row>
    <row r="54" spans="1:8">
      <c r="A54" t="str">
        <f>'Student Enrollment Data'!A56</f>
        <v>233</v>
      </c>
      <c r="B54">
        <f>'Student Enrollment Data'!B56</f>
        <v>233</v>
      </c>
      <c r="C54" t="str">
        <f>'Student Enrollment Data'!C56</f>
        <v>Hagerman Joint School District # 233</v>
      </c>
      <c r="D54">
        <v>0</v>
      </c>
      <c r="E54" s="34">
        <f>IF(settings!$G$4=0,'Student Enrollment Data'!BA56,'Student Enrollment Data'!CN56)</f>
        <v>171.5</v>
      </c>
      <c r="F54" s="34">
        <f>IF(settings!$G$4=0,'Student Enrollment Data'!BB56,'Student Enrollment Data'!CO56)</f>
        <v>109</v>
      </c>
      <c r="G54" s="39">
        <f t="shared" si="0"/>
        <v>280.5</v>
      </c>
      <c r="H54">
        <f>IF(G54&lt;20000,0,IF(G54&gt;19999,settings!$Q$3,('Large District Weight'!G54*settings!$P$6)+settings!P59))</f>
        <v>0</v>
      </c>
    </row>
    <row r="55" spans="1:8">
      <c r="A55" t="str">
        <f>'Student Enrollment Data'!A57</f>
        <v>234</v>
      </c>
      <c r="B55">
        <f>'Student Enrollment Data'!B57</f>
        <v>234</v>
      </c>
      <c r="C55" t="str">
        <f>'Student Enrollment Data'!C57</f>
        <v>Bliss Joint School District # 234</v>
      </c>
      <c r="D55">
        <v>0</v>
      </c>
      <c r="E55" s="34">
        <f>IF(settings!$G$4=0,'Student Enrollment Data'!BA57,'Student Enrollment Data'!CN57)</f>
        <v>75</v>
      </c>
      <c r="F55" s="34">
        <f>IF(settings!$G$4=0,'Student Enrollment Data'!BB57,'Student Enrollment Data'!CO57)</f>
        <v>100</v>
      </c>
      <c r="G55" s="39">
        <f t="shared" si="0"/>
        <v>175</v>
      </c>
      <c r="H55">
        <f>IF(G55&lt;20000,0,IF(G55&gt;19999,settings!$Q$3,('Large District Weight'!G55*settings!$P$6)+settings!P60))</f>
        <v>0</v>
      </c>
    </row>
    <row r="56" spans="1:8">
      <c r="A56" t="str">
        <f>'Student Enrollment Data'!A58</f>
        <v>242</v>
      </c>
      <c r="B56">
        <f>'Student Enrollment Data'!B58</f>
        <v>242</v>
      </c>
      <c r="C56" t="str">
        <f>'Student Enrollment Data'!C58</f>
        <v>Cottonwood Joint School District # 242</v>
      </c>
      <c r="D56">
        <v>0</v>
      </c>
      <c r="E56" s="34">
        <f>IF(settings!$G$4=0,'Student Enrollment Data'!BA58,'Student Enrollment Data'!CN58)</f>
        <v>194</v>
      </c>
      <c r="F56" s="34">
        <f>IF(settings!$G$4=0,'Student Enrollment Data'!BB58,'Student Enrollment Data'!CO58)</f>
        <v>175</v>
      </c>
      <c r="G56" s="39">
        <f t="shared" si="0"/>
        <v>369</v>
      </c>
      <c r="H56">
        <f>IF(G56&lt;20000,0,IF(G56&gt;19999,settings!$Q$3,('Large District Weight'!G56*settings!$P$6)+settings!P61))</f>
        <v>0</v>
      </c>
    </row>
    <row r="57" spans="1:8">
      <c r="A57" t="str">
        <f>'Student Enrollment Data'!A59</f>
        <v>243</v>
      </c>
      <c r="B57">
        <f>'Student Enrollment Data'!B59</f>
        <v>243</v>
      </c>
      <c r="C57" t="str">
        <f>'Student Enrollment Data'!C59</f>
        <v>Salmon River Joint School District # 243</v>
      </c>
      <c r="D57">
        <v>0</v>
      </c>
      <c r="E57" s="34">
        <f>IF(settings!$G$4=0,'Student Enrollment Data'!BA59,'Student Enrollment Data'!CN59)</f>
        <v>58.5</v>
      </c>
      <c r="F57" s="34">
        <f>IF(settings!$G$4=0,'Student Enrollment Data'!BB59,'Student Enrollment Data'!CO59)</f>
        <v>100</v>
      </c>
      <c r="G57" s="39">
        <f t="shared" si="0"/>
        <v>158.5</v>
      </c>
      <c r="H57">
        <f>IF(G57&lt;20000,0,IF(G57&gt;19999,settings!$Q$3,('Large District Weight'!G57*settings!$P$6)+settings!P62))</f>
        <v>0</v>
      </c>
    </row>
    <row r="58" spans="1:8">
      <c r="A58" t="str">
        <f>'Student Enrollment Data'!A60</f>
        <v>244</v>
      </c>
      <c r="B58">
        <f>'Student Enrollment Data'!B60</f>
        <v>244</v>
      </c>
      <c r="C58" t="str">
        <f>'Student Enrollment Data'!C60</f>
        <v>Mountain View School District # 244</v>
      </c>
      <c r="D58">
        <v>0</v>
      </c>
      <c r="E58" s="34">
        <f>IF(settings!$G$4=0,'Student Enrollment Data'!BA60,'Student Enrollment Data'!CN60)</f>
        <v>627</v>
      </c>
      <c r="F58" s="34">
        <f>IF(settings!$G$4=0,'Student Enrollment Data'!BB60,'Student Enrollment Data'!CO60)</f>
        <v>573</v>
      </c>
      <c r="G58" s="39">
        <f t="shared" si="0"/>
        <v>1200</v>
      </c>
      <c r="H58">
        <f>IF(G58&lt;20000,0,IF(G58&gt;19999,settings!$Q$3,('Large District Weight'!G58*settings!$P$6)+settings!P63))</f>
        <v>0</v>
      </c>
    </row>
    <row r="59" spans="1:8">
      <c r="A59" t="str">
        <f>'Student Enrollment Data'!A61</f>
        <v>251</v>
      </c>
      <c r="B59">
        <f>'Student Enrollment Data'!B61</f>
        <v>251</v>
      </c>
      <c r="C59" t="str">
        <f>'Student Enrollment Data'!C61</f>
        <v>Jefferson County Joint School District # 251</v>
      </c>
      <c r="D59">
        <v>0</v>
      </c>
      <c r="E59" s="34">
        <f>IF(settings!$G$4=0,'Student Enrollment Data'!BA61,'Student Enrollment Data'!CN61)</f>
        <v>3191.5882352941176</v>
      </c>
      <c r="F59" s="34">
        <f>IF(settings!$G$4=0,'Student Enrollment Data'!BB61,'Student Enrollment Data'!CO61)</f>
        <v>2643.6838235294117</v>
      </c>
      <c r="G59" s="39">
        <f t="shared" si="0"/>
        <v>5835.2720588235297</v>
      </c>
      <c r="H59">
        <f>IF(G59&lt;20000,0,IF(G59&gt;19999,settings!$Q$3,('Large District Weight'!G59*settings!$P$6)+settings!P64))</f>
        <v>0</v>
      </c>
    </row>
    <row r="60" spans="1:8">
      <c r="A60" t="str">
        <f>'Student Enrollment Data'!A62</f>
        <v>252</v>
      </c>
      <c r="B60">
        <f>'Student Enrollment Data'!B62</f>
        <v>252</v>
      </c>
      <c r="C60" t="str">
        <f>'Student Enrollment Data'!C62</f>
        <v>Ririe Joint School District # 252</v>
      </c>
      <c r="D60">
        <v>0</v>
      </c>
      <c r="E60" s="34">
        <f>IF(settings!$G$4=0,'Student Enrollment Data'!BA62,'Student Enrollment Data'!CN62)</f>
        <v>314.5</v>
      </c>
      <c r="F60" s="34">
        <f>IF(settings!$G$4=0,'Student Enrollment Data'!BB62,'Student Enrollment Data'!CO62)</f>
        <v>361</v>
      </c>
      <c r="G60" s="39">
        <f t="shared" si="0"/>
        <v>675.5</v>
      </c>
      <c r="H60">
        <f>IF(G60&lt;20000,0,IF(G60&gt;19999,settings!$Q$3,('Large District Weight'!G60*settings!$P$6)+settings!P65))</f>
        <v>0</v>
      </c>
    </row>
    <row r="61" spans="1:8">
      <c r="A61" t="str">
        <f>'Student Enrollment Data'!A63</f>
        <v>253</v>
      </c>
      <c r="B61">
        <f>'Student Enrollment Data'!B63</f>
        <v>253</v>
      </c>
      <c r="C61" t="str">
        <f>'Student Enrollment Data'!C63</f>
        <v>West Jefferson School District # 253</v>
      </c>
      <c r="D61">
        <v>0</v>
      </c>
      <c r="E61" s="34">
        <f>IF(settings!$G$4=0,'Student Enrollment Data'!BA63,'Student Enrollment Data'!CN63)</f>
        <v>269</v>
      </c>
      <c r="F61" s="34">
        <f>IF(settings!$G$4=0,'Student Enrollment Data'!BB63,'Student Enrollment Data'!CO63)</f>
        <v>307</v>
      </c>
      <c r="G61" s="39">
        <f t="shared" si="0"/>
        <v>576</v>
      </c>
      <c r="H61">
        <f>IF(G61&lt;20000,0,IF(G61&gt;19999,settings!$Q$3,('Large District Weight'!G61*settings!$P$6)+settings!P66))</f>
        <v>0</v>
      </c>
    </row>
    <row r="62" spans="1:8">
      <c r="A62" t="str">
        <f>'Student Enrollment Data'!A64</f>
        <v>261</v>
      </c>
      <c r="B62">
        <f>'Student Enrollment Data'!B64</f>
        <v>261</v>
      </c>
      <c r="C62" t="str">
        <f>'Student Enrollment Data'!C64</f>
        <v>Jerome Joint School District # 261</v>
      </c>
      <c r="D62">
        <v>0</v>
      </c>
      <c r="E62" s="34">
        <f>IF(settings!$G$4=0,'Student Enrollment Data'!BA64,'Student Enrollment Data'!CN64)</f>
        <v>2085.2492647058825</v>
      </c>
      <c r="F62" s="34">
        <f>IF(settings!$G$4=0,'Student Enrollment Data'!BB64,'Student Enrollment Data'!CO64)</f>
        <v>1804.9367647058823</v>
      </c>
      <c r="G62" s="39">
        <f t="shared" si="0"/>
        <v>3890.186029411765</v>
      </c>
      <c r="H62">
        <f>IF(G62&lt;20000,0,IF(G62&gt;19999,settings!$Q$3,('Large District Weight'!G62*settings!$P$6)+settings!P67))</f>
        <v>0</v>
      </c>
    </row>
    <row r="63" spans="1:8">
      <c r="A63" t="str">
        <f>'Student Enrollment Data'!A65</f>
        <v>262</v>
      </c>
      <c r="B63">
        <f>'Student Enrollment Data'!B65</f>
        <v>262</v>
      </c>
      <c r="C63" t="str">
        <f>'Student Enrollment Data'!C65</f>
        <v>Valley School District # 262</v>
      </c>
      <c r="D63">
        <v>0</v>
      </c>
      <c r="E63" s="34">
        <f>IF(settings!$G$4=0,'Student Enrollment Data'!BA65,'Student Enrollment Data'!CN65)</f>
        <v>304.5</v>
      </c>
      <c r="F63" s="34">
        <f>IF(settings!$G$4=0,'Student Enrollment Data'!BB65,'Student Enrollment Data'!CO65)</f>
        <v>270</v>
      </c>
      <c r="G63" s="39">
        <f t="shared" si="0"/>
        <v>574.5</v>
      </c>
      <c r="H63">
        <f>IF(G63&lt;20000,0,IF(G63&gt;19999,settings!$Q$3,('Large District Weight'!G63*settings!$P$6)+settings!P68))</f>
        <v>0</v>
      </c>
    </row>
    <row r="64" spans="1:8">
      <c r="A64" t="str">
        <f>'Student Enrollment Data'!A66</f>
        <v>271</v>
      </c>
      <c r="B64">
        <f>'Student Enrollment Data'!B66</f>
        <v>271</v>
      </c>
      <c r="C64" t="str">
        <f>'Student Enrollment Data'!C66</f>
        <v>Coeur d' Alene School District # 271</v>
      </c>
      <c r="D64">
        <v>0</v>
      </c>
      <c r="E64" s="34">
        <f>IF(settings!$G$4=0,'Student Enrollment Data'!BA66,'Student Enrollment Data'!CN66)</f>
        <v>5562.3564145658265</v>
      </c>
      <c r="F64" s="34">
        <f>IF(settings!$G$4=0,'Student Enrollment Data'!BB66,'Student Enrollment Data'!CO66)</f>
        <v>4831.9381372549024</v>
      </c>
      <c r="G64" s="39">
        <f t="shared" si="0"/>
        <v>10394.294551820729</v>
      </c>
      <c r="H64">
        <f>IF(G64&lt;20000,0,IF(G64&gt;19999,settings!$Q$3,('Large District Weight'!G64*settings!$P$6)+settings!P69))</f>
        <v>0</v>
      </c>
    </row>
    <row r="65" spans="1:8">
      <c r="A65" t="str">
        <f>'Student Enrollment Data'!A67</f>
        <v>272</v>
      </c>
      <c r="B65">
        <f>'Student Enrollment Data'!B67</f>
        <v>272</v>
      </c>
      <c r="C65" t="str">
        <f>'Student Enrollment Data'!C67</f>
        <v>Lakeland School District # 272</v>
      </c>
      <c r="D65">
        <v>0</v>
      </c>
      <c r="E65" s="34">
        <f>IF(settings!$G$4=0,'Student Enrollment Data'!BA67,'Student Enrollment Data'!CN67)</f>
        <v>2076.1715686274511</v>
      </c>
      <c r="F65" s="34">
        <f>IF(settings!$G$4=0,'Student Enrollment Data'!BB67,'Student Enrollment Data'!CO67)</f>
        <v>2229.9093137254904</v>
      </c>
      <c r="G65" s="39">
        <f t="shared" si="0"/>
        <v>4306.0808823529414</v>
      </c>
      <c r="H65">
        <f>IF(G65&lt;20000,0,IF(G65&gt;19999,settings!$Q$3,('Large District Weight'!G65*settings!$P$6)+settings!P70))</f>
        <v>0</v>
      </c>
    </row>
    <row r="66" spans="1:8">
      <c r="A66" t="str">
        <f>'Student Enrollment Data'!A68</f>
        <v>273</v>
      </c>
      <c r="B66">
        <f>'Student Enrollment Data'!B68</f>
        <v>273</v>
      </c>
      <c r="C66" t="str">
        <f>'Student Enrollment Data'!C68</f>
        <v>Post Falls School District # 273</v>
      </c>
      <c r="D66">
        <v>0</v>
      </c>
      <c r="E66" s="34">
        <f>IF(settings!$G$4=0,'Student Enrollment Data'!BA68,'Student Enrollment Data'!CN68)</f>
        <v>3131.780745098039</v>
      </c>
      <c r="F66" s="34">
        <f>IF(settings!$G$4=0,'Student Enrollment Data'!BB68,'Student Enrollment Data'!CO68)</f>
        <v>2682.6224509803919</v>
      </c>
      <c r="G66" s="39">
        <f t="shared" si="0"/>
        <v>5814.4031960784305</v>
      </c>
      <c r="H66">
        <f>IF(G66&lt;20000,0,IF(G66&gt;19999,settings!$Q$3,('Large District Weight'!G66*settings!$P$6)+settings!P71))</f>
        <v>0</v>
      </c>
    </row>
    <row r="67" spans="1:8">
      <c r="A67" t="str">
        <f>'Student Enrollment Data'!A69</f>
        <v>274</v>
      </c>
      <c r="B67">
        <f>'Student Enrollment Data'!B69</f>
        <v>274</v>
      </c>
      <c r="C67" t="str">
        <f>'Student Enrollment Data'!C69</f>
        <v>Kootenai Joint School District # 274</v>
      </c>
      <c r="D67">
        <v>0</v>
      </c>
      <c r="E67" s="34">
        <f>IF(settings!$G$4=0,'Student Enrollment Data'!BA69,'Student Enrollment Data'!CN69)</f>
        <v>67.5</v>
      </c>
      <c r="F67" s="34">
        <f>IF(settings!$G$4=0,'Student Enrollment Data'!BB69,'Student Enrollment Data'!CO69)</f>
        <v>100</v>
      </c>
      <c r="G67" s="39">
        <f t="shared" ref="G67:G130" si="1">E67+F67</f>
        <v>167.5</v>
      </c>
      <c r="H67">
        <f>IF(G67&lt;20000,0,IF(G67&gt;19999,settings!$Q$3,('Large District Weight'!G67*settings!$P$6)+settings!P72))</f>
        <v>0</v>
      </c>
    </row>
    <row r="68" spans="1:8">
      <c r="A68" t="str">
        <f>'Student Enrollment Data'!A70</f>
        <v>281</v>
      </c>
      <c r="B68">
        <f>'Student Enrollment Data'!B70</f>
        <v>281</v>
      </c>
      <c r="C68" t="str">
        <f>'Student Enrollment Data'!C70</f>
        <v>Moscow School District # 281</v>
      </c>
      <c r="D68">
        <v>0</v>
      </c>
      <c r="E68" s="34">
        <f>IF(settings!$G$4=0,'Student Enrollment Data'!BA70,'Student Enrollment Data'!CN70)</f>
        <v>1098</v>
      </c>
      <c r="F68" s="34">
        <f>IF(settings!$G$4=0,'Student Enrollment Data'!BB70,'Student Enrollment Data'!CO70)</f>
        <v>1147</v>
      </c>
      <c r="G68" s="39">
        <f t="shared" si="1"/>
        <v>2245</v>
      </c>
      <c r="H68">
        <f>IF(G68&lt;20000,0,IF(G68&gt;19999,settings!$Q$3,('Large District Weight'!G68*settings!$P$6)+settings!P73))</f>
        <v>0</v>
      </c>
    </row>
    <row r="69" spans="1:8">
      <c r="A69" t="str">
        <f>'Student Enrollment Data'!A71</f>
        <v>282</v>
      </c>
      <c r="B69">
        <f>'Student Enrollment Data'!B71</f>
        <v>282</v>
      </c>
      <c r="C69" t="str">
        <f>'Student Enrollment Data'!C71</f>
        <v>Genesee Joint School District # 282</v>
      </c>
      <c r="D69">
        <v>0</v>
      </c>
      <c r="E69" s="34">
        <f>IF(settings!$G$4=0,'Student Enrollment Data'!BA71,'Student Enrollment Data'!CN71)</f>
        <v>135</v>
      </c>
      <c r="F69" s="34">
        <f>IF(settings!$G$4=0,'Student Enrollment Data'!BB71,'Student Enrollment Data'!CO71)</f>
        <v>147</v>
      </c>
      <c r="G69" s="39">
        <f t="shared" si="1"/>
        <v>282</v>
      </c>
      <c r="H69">
        <f>IF(G69&lt;20000,0,IF(G69&gt;19999,settings!$Q$3,('Large District Weight'!G69*settings!$P$6)+settings!P74))</f>
        <v>0</v>
      </c>
    </row>
    <row r="70" spans="1:8">
      <c r="A70" t="str">
        <f>'Student Enrollment Data'!A72</f>
        <v>283</v>
      </c>
      <c r="B70">
        <f>'Student Enrollment Data'!B72</f>
        <v>283</v>
      </c>
      <c r="C70" t="str">
        <f>'Student Enrollment Data'!C72</f>
        <v>Kendrick Joint School District # 283</v>
      </c>
      <c r="D70">
        <v>0</v>
      </c>
      <c r="E70" s="34">
        <f>IF(settings!$G$4=0,'Student Enrollment Data'!BA72,'Student Enrollment Data'!CN72)</f>
        <v>128</v>
      </c>
      <c r="F70" s="34">
        <f>IF(settings!$G$4=0,'Student Enrollment Data'!BB72,'Student Enrollment Data'!CO72)</f>
        <v>100</v>
      </c>
      <c r="G70" s="39">
        <f t="shared" si="1"/>
        <v>228</v>
      </c>
      <c r="H70">
        <f>IF(G70&lt;20000,0,IF(G70&gt;19999,settings!$Q$3,('Large District Weight'!G70*settings!$P$6)+settings!P75))</f>
        <v>0</v>
      </c>
    </row>
    <row r="71" spans="1:8">
      <c r="A71" t="str">
        <f>'Student Enrollment Data'!A73</f>
        <v>285</v>
      </c>
      <c r="B71">
        <f>'Student Enrollment Data'!B73</f>
        <v>285</v>
      </c>
      <c r="C71" t="str">
        <f>'Student Enrollment Data'!C73</f>
        <v>Potlatch School District # 285</v>
      </c>
      <c r="D71">
        <v>0</v>
      </c>
      <c r="E71" s="34">
        <f>IF(settings!$G$4=0,'Student Enrollment Data'!BA73,'Student Enrollment Data'!CN73)</f>
        <v>231.5</v>
      </c>
      <c r="F71" s="34">
        <f>IF(settings!$G$4=0,'Student Enrollment Data'!BB73,'Student Enrollment Data'!CO73)</f>
        <v>215</v>
      </c>
      <c r="G71" s="39">
        <f t="shared" si="1"/>
        <v>446.5</v>
      </c>
      <c r="H71">
        <f>IF(G71&lt;20000,0,IF(G71&gt;19999,settings!$Q$3,('Large District Weight'!G71*settings!$P$6)+settings!P76))</f>
        <v>0</v>
      </c>
    </row>
    <row r="72" spans="1:8">
      <c r="A72" t="str">
        <f>'Student Enrollment Data'!A74</f>
        <v>287</v>
      </c>
      <c r="B72">
        <f>'Student Enrollment Data'!B74</f>
        <v>287</v>
      </c>
      <c r="C72" t="str">
        <f>'Student Enrollment Data'!C74</f>
        <v>Troy  School District # 287</v>
      </c>
      <c r="D72">
        <v>0</v>
      </c>
      <c r="E72" s="34">
        <f>IF(settings!$G$4=0,'Student Enrollment Data'!BA74,'Student Enrollment Data'!CN74)</f>
        <v>130.5</v>
      </c>
      <c r="F72" s="34">
        <f>IF(settings!$G$4=0,'Student Enrollment Data'!BB74,'Student Enrollment Data'!CO74)</f>
        <v>131</v>
      </c>
      <c r="G72" s="39">
        <f t="shared" si="1"/>
        <v>261.5</v>
      </c>
      <c r="H72">
        <f>IF(G72&lt;20000,0,IF(G72&gt;19999,settings!$Q$3,('Large District Weight'!G72*settings!$P$6)+settings!P77))</f>
        <v>0</v>
      </c>
    </row>
    <row r="73" spans="1:8">
      <c r="A73" t="str">
        <f>'Student Enrollment Data'!A75</f>
        <v>288</v>
      </c>
      <c r="B73">
        <f>'Student Enrollment Data'!B75</f>
        <v>288</v>
      </c>
      <c r="C73" t="str">
        <f>'Student Enrollment Data'!C75</f>
        <v>Whitepine Joint School District # 288</v>
      </c>
      <c r="D73">
        <v>0</v>
      </c>
      <c r="E73" s="34">
        <f>IF(settings!$G$4=0,'Student Enrollment Data'!BA75,'Student Enrollment Data'!CN75)</f>
        <v>115.5</v>
      </c>
      <c r="F73" s="34">
        <f>IF(settings!$G$4=0,'Student Enrollment Data'!BB75,'Student Enrollment Data'!CO75)</f>
        <v>117</v>
      </c>
      <c r="G73" s="39">
        <f t="shared" si="1"/>
        <v>232.5</v>
      </c>
      <c r="H73">
        <f>IF(G73&lt;20000,0,IF(G73&gt;19999,settings!$Q$3,('Large District Weight'!G73*settings!$P$6)+settings!P78))</f>
        <v>0</v>
      </c>
    </row>
    <row r="74" spans="1:8">
      <c r="A74" t="str">
        <f>'Student Enrollment Data'!A76</f>
        <v>291</v>
      </c>
      <c r="B74">
        <f>'Student Enrollment Data'!B76</f>
        <v>291</v>
      </c>
      <c r="C74" t="str">
        <f>'Student Enrollment Data'!C76</f>
        <v>Salmon School District # 291</v>
      </c>
      <c r="D74">
        <v>0</v>
      </c>
      <c r="E74" s="34">
        <f>IF(settings!$G$4=0,'Student Enrollment Data'!BA76,'Student Enrollment Data'!CN76)</f>
        <v>355.5</v>
      </c>
      <c r="F74" s="34">
        <f>IF(settings!$G$4=0,'Student Enrollment Data'!BB76,'Student Enrollment Data'!CO76)</f>
        <v>396</v>
      </c>
      <c r="G74" s="39">
        <f t="shared" si="1"/>
        <v>751.5</v>
      </c>
      <c r="H74">
        <f>IF(G74&lt;20000,0,IF(G74&gt;19999,settings!$Q$3,('Large District Weight'!G74*settings!$P$6)+settings!P79))</f>
        <v>0</v>
      </c>
    </row>
    <row r="75" spans="1:8">
      <c r="A75" t="str">
        <f>'Student Enrollment Data'!A77</f>
        <v>292</v>
      </c>
      <c r="B75">
        <f>'Student Enrollment Data'!B77</f>
        <v>292</v>
      </c>
      <c r="C75" t="str">
        <f>'Student Enrollment Data'!C77</f>
        <v>South Lemhi School District # 292</v>
      </c>
      <c r="D75">
        <v>0</v>
      </c>
      <c r="E75" s="34">
        <f>IF(settings!$G$4=0,'Student Enrollment Data'!BA77,'Student Enrollment Data'!CN77)</f>
        <v>65.5</v>
      </c>
      <c r="F75" s="34">
        <f>IF(settings!$G$4=0,'Student Enrollment Data'!BB77,'Student Enrollment Data'!CO77)</f>
        <v>100</v>
      </c>
      <c r="G75" s="39">
        <f t="shared" si="1"/>
        <v>165.5</v>
      </c>
      <c r="H75">
        <f>IF(G75&lt;20000,0,IF(G75&gt;19999,settings!$Q$3,('Large District Weight'!G75*settings!$P$6)+settings!P80))</f>
        <v>0</v>
      </c>
    </row>
    <row r="76" spans="1:8">
      <c r="A76" t="str">
        <f>'Student Enrollment Data'!A78</f>
        <v>302</v>
      </c>
      <c r="B76">
        <f>'Student Enrollment Data'!B78</f>
        <v>302</v>
      </c>
      <c r="C76" t="str">
        <f>'Student Enrollment Data'!C78</f>
        <v>Nezperce Joint School District # 302</v>
      </c>
      <c r="D76">
        <v>0</v>
      </c>
      <c r="E76" s="34">
        <f>IF(settings!$G$4=0,'Student Enrollment Data'!BA78,'Student Enrollment Data'!CN78)</f>
        <v>73</v>
      </c>
      <c r="F76" s="34">
        <f>IF(settings!$G$4=0,'Student Enrollment Data'!BB78,'Student Enrollment Data'!CO78)</f>
        <v>100</v>
      </c>
      <c r="G76" s="39">
        <f t="shared" si="1"/>
        <v>173</v>
      </c>
      <c r="H76">
        <f>IF(G76&lt;20000,0,IF(G76&gt;19999,settings!$Q$3,('Large District Weight'!G76*settings!$P$6)+settings!P81))</f>
        <v>0</v>
      </c>
    </row>
    <row r="77" spans="1:8">
      <c r="A77" t="str">
        <f>'Student Enrollment Data'!A79</f>
        <v>304</v>
      </c>
      <c r="B77">
        <f>'Student Enrollment Data'!B79</f>
        <v>304</v>
      </c>
      <c r="C77" t="str">
        <f>'Student Enrollment Data'!C79</f>
        <v>Kamiah Joint School District # 304</v>
      </c>
      <c r="D77">
        <v>0</v>
      </c>
      <c r="E77" s="34">
        <f>IF(settings!$G$4=0,'Student Enrollment Data'!BA79,'Student Enrollment Data'!CN79)</f>
        <v>186</v>
      </c>
      <c r="F77" s="34">
        <f>IF(settings!$G$4=0,'Student Enrollment Data'!BB79,'Student Enrollment Data'!CO79)</f>
        <v>221</v>
      </c>
      <c r="G77" s="39">
        <f t="shared" si="1"/>
        <v>407</v>
      </c>
      <c r="H77">
        <f>IF(G77&lt;20000,0,IF(G77&gt;19999,settings!$Q$3,('Large District Weight'!G77*settings!$P$6)+settings!P82))</f>
        <v>0</v>
      </c>
    </row>
    <row r="78" spans="1:8">
      <c r="A78" t="str">
        <f>'Student Enrollment Data'!A80</f>
        <v>305</v>
      </c>
      <c r="B78">
        <f>'Student Enrollment Data'!B80</f>
        <v>305</v>
      </c>
      <c r="C78" t="str">
        <f>'Student Enrollment Data'!C80</f>
        <v>Highland Joint School District # 305</v>
      </c>
      <c r="D78">
        <v>0</v>
      </c>
      <c r="E78" s="34">
        <f>IF(settings!$G$4=0,'Student Enrollment Data'!BA80,'Student Enrollment Data'!CN80)</f>
        <v>84</v>
      </c>
      <c r="F78" s="34">
        <f>IF(settings!$G$4=0,'Student Enrollment Data'!BB80,'Student Enrollment Data'!CO80)</f>
        <v>100</v>
      </c>
      <c r="G78" s="39">
        <f t="shared" si="1"/>
        <v>184</v>
      </c>
      <c r="H78">
        <f>IF(G78&lt;20000,0,IF(G78&gt;19999,settings!$Q$3,('Large District Weight'!G78*settings!$P$6)+settings!P83))</f>
        <v>0</v>
      </c>
    </row>
    <row r="79" spans="1:8">
      <c r="A79" t="str">
        <f>'Student Enrollment Data'!A81</f>
        <v>312</v>
      </c>
      <c r="B79">
        <f>'Student Enrollment Data'!B81</f>
        <v>312</v>
      </c>
      <c r="C79" t="str">
        <f>'Student Enrollment Data'!C81</f>
        <v>Shoshone Joint School District # 312</v>
      </c>
      <c r="D79">
        <v>0</v>
      </c>
      <c r="E79" s="34">
        <f>IF(settings!$G$4=0,'Student Enrollment Data'!BA81,'Student Enrollment Data'!CN81)</f>
        <v>249.5</v>
      </c>
      <c r="F79" s="34">
        <f>IF(settings!$G$4=0,'Student Enrollment Data'!BB81,'Student Enrollment Data'!CO81)</f>
        <v>229</v>
      </c>
      <c r="G79" s="39">
        <f t="shared" si="1"/>
        <v>478.5</v>
      </c>
      <c r="H79">
        <f>IF(G79&lt;20000,0,IF(G79&gt;19999,settings!$Q$3,('Large District Weight'!G79*settings!$P$6)+settings!P84))</f>
        <v>0</v>
      </c>
    </row>
    <row r="80" spans="1:8">
      <c r="A80" t="str">
        <f>'Student Enrollment Data'!A82</f>
        <v>314</v>
      </c>
      <c r="B80">
        <f>'Student Enrollment Data'!B82</f>
        <v>314</v>
      </c>
      <c r="C80" t="str">
        <f>'Student Enrollment Data'!C82</f>
        <v>Dietrich School District # 314</v>
      </c>
      <c r="D80">
        <v>0</v>
      </c>
      <c r="E80" s="34">
        <f>IF(settings!$G$4=0,'Student Enrollment Data'!BA82,'Student Enrollment Data'!CN82)</f>
        <v>105</v>
      </c>
      <c r="F80" s="34">
        <f>IF(settings!$G$4=0,'Student Enrollment Data'!BB82,'Student Enrollment Data'!CO82)</f>
        <v>100</v>
      </c>
      <c r="G80" s="39">
        <f t="shared" si="1"/>
        <v>205</v>
      </c>
      <c r="H80">
        <f>IF(G80&lt;20000,0,IF(G80&gt;19999,settings!$Q$3,('Large District Weight'!G80*settings!$P$6)+settings!P85))</f>
        <v>0</v>
      </c>
    </row>
    <row r="81" spans="1:8">
      <c r="A81" t="str">
        <f>'Student Enrollment Data'!A83</f>
        <v>316</v>
      </c>
      <c r="B81">
        <f>'Student Enrollment Data'!B83</f>
        <v>316</v>
      </c>
      <c r="C81" t="str">
        <f>'Student Enrollment Data'!C83</f>
        <v>Richfield School District # 316</v>
      </c>
      <c r="D81">
        <v>0</v>
      </c>
      <c r="E81" s="34">
        <f>IF(settings!$G$4=0,'Student Enrollment Data'!BA83,'Student Enrollment Data'!CN83)</f>
        <v>105</v>
      </c>
      <c r="F81" s="34">
        <f>IF(settings!$G$4=0,'Student Enrollment Data'!BB83,'Student Enrollment Data'!CO83)</f>
        <v>100</v>
      </c>
      <c r="G81" s="39">
        <f t="shared" si="1"/>
        <v>205</v>
      </c>
      <c r="H81">
        <f>IF(G81&lt;20000,0,IF(G81&gt;19999,settings!$Q$3,('Large District Weight'!G81*settings!$P$6)+settings!P86))</f>
        <v>0</v>
      </c>
    </row>
    <row r="82" spans="1:8">
      <c r="A82" t="str">
        <f>'Student Enrollment Data'!A84</f>
        <v>321</v>
      </c>
      <c r="B82">
        <f>'Student Enrollment Data'!B84</f>
        <v>321</v>
      </c>
      <c r="C82" t="str">
        <f>'Student Enrollment Data'!C84</f>
        <v>Madison School District # 321</v>
      </c>
      <c r="D82">
        <v>0</v>
      </c>
      <c r="E82" s="34">
        <f>IF(settings!$G$4=0,'Student Enrollment Data'!BA84,'Student Enrollment Data'!CN84)</f>
        <v>2534</v>
      </c>
      <c r="F82" s="34">
        <f>IF(settings!$G$4=0,'Student Enrollment Data'!BB84,'Student Enrollment Data'!CO84)</f>
        <v>2473.478431372549</v>
      </c>
      <c r="G82" s="39">
        <f t="shared" si="1"/>
        <v>5007.4784313725486</v>
      </c>
      <c r="H82">
        <f>IF(G82&lt;20000,0,IF(G82&gt;19999,settings!$Q$3,('Large District Weight'!G82*settings!$P$6)+settings!P87))</f>
        <v>0</v>
      </c>
    </row>
    <row r="83" spans="1:8">
      <c r="A83" t="str">
        <f>'Student Enrollment Data'!A85</f>
        <v>322</v>
      </c>
      <c r="B83">
        <f>'Student Enrollment Data'!B85</f>
        <v>322</v>
      </c>
      <c r="C83" t="str">
        <f>'Student Enrollment Data'!C85</f>
        <v>Sugar-Salem Joint School District # 322</v>
      </c>
      <c r="D83">
        <v>0</v>
      </c>
      <c r="E83" s="34">
        <f>IF(settings!$G$4=0,'Student Enrollment Data'!BA85,'Student Enrollment Data'!CN85)</f>
        <v>749</v>
      </c>
      <c r="F83" s="34">
        <f>IF(settings!$G$4=0,'Student Enrollment Data'!BB85,'Student Enrollment Data'!CO85)</f>
        <v>810</v>
      </c>
      <c r="G83" s="39">
        <f t="shared" si="1"/>
        <v>1559</v>
      </c>
      <c r="H83">
        <f>IF(G83&lt;20000,0,IF(G83&gt;19999,settings!$Q$3,('Large District Weight'!G83*settings!$P$6)+settings!P88))</f>
        <v>0</v>
      </c>
    </row>
    <row r="84" spans="1:8">
      <c r="A84" t="str">
        <f>'Student Enrollment Data'!A86</f>
        <v>331</v>
      </c>
      <c r="B84">
        <f>'Student Enrollment Data'!B86</f>
        <v>331</v>
      </c>
      <c r="C84" t="str">
        <f>'Student Enrollment Data'!C86</f>
        <v>Minidoka County Joint School District # 331</v>
      </c>
      <c r="D84">
        <v>0</v>
      </c>
      <c r="E84" s="34">
        <f>IF(settings!$G$4=0,'Student Enrollment Data'!BA86,'Student Enrollment Data'!CN86)</f>
        <v>2226.7279411764707</v>
      </c>
      <c r="F84" s="34">
        <f>IF(settings!$G$4=0,'Student Enrollment Data'!BB86,'Student Enrollment Data'!CO86)</f>
        <v>1841.6599547511312</v>
      </c>
      <c r="G84" s="39">
        <f t="shared" si="1"/>
        <v>4068.3878959276017</v>
      </c>
      <c r="H84">
        <f>IF(G84&lt;20000,0,IF(G84&gt;19999,settings!$Q$3,('Large District Weight'!G84*settings!$P$6)+settings!P89))</f>
        <v>0</v>
      </c>
    </row>
    <row r="85" spans="1:8">
      <c r="A85" t="str">
        <f>'Student Enrollment Data'!A87</f>
        <v>340</v>
      </c>
      <c r="B85">
        <f>'Student Enrollment Data'!B87</f>
        <v>340</v>
      </c>
      <c r="C85" t="str">
        <f>'Student Enrollment Data'!C87</f>
        <v>Lewiston Independent School District # 340</v>
      </c>
      <c r="D85">
        <v>0</v>
      </c>
      <c r="E85" s="34">
        <f>IF(settings!$G$4=0,'Student Enrollment Data'!BA87,'Student Enrollment Data'!CN87)</f>
        <v>2279.1642156862745</v>
      </c>
      <c r="F85" s="34">
        <f>IF(settings!$G$4=0,'Student Enrollment Data'!BB87,'Student Enrollment Data'!CO87)</f>
        <v>2257.1784313725489</v>
      </c>
      <c r="G85" s="39">
        <f t="shared" si="1"/>
        <v>4536.3426470588238</v>
      </c>
      <c r="H85">
        <f>IF(G85&lt;20000,0,IF(G85&gt;19999,settings!$Q$3,('Large District Weight'!G85*settings!$P$6)+settings!P90))</f>
        <v>0</v>
      </c>
    </row>
    <row r="86" spans="1:8">
      <c r="A86" t="str">
        <f>'Student Enrollment Data'!A88</f>
        <v>341</v>
      </c>
      <c r="B86">
        <f>'Student Enrollment Data'!B88</f>
        <v>341</v>
      </c>
      <c r="C86" t="str">
        <f>'Student Enrollment Data'!C88</f>
        <v>Lapwai School District # 341</v>
      </c>
      <c r="D86">
        <v>0</v>
      </c>
      <c r="E86" s="34">
        <f>IF(settings!$G$4=0,'Student Enrollment Data'!BA88,'Student Enrollment Data'!CN88)</f>
        <v>259.5</v>
      </c>
      <c r="F86" s="34">
        <f>IF(settings!$G$4=0,'Student Enrollment Data'!BB88,'Student Enrollment Data'!CO88)</f>
        <v>222</v>
      </c>
      <c r="G86" s="39">
        <f t="shared" si="1"/>
        <v>481.5</v>
      </c>
      <c r="H86">
        <f>IF(G86&lt;20000,0,IF(G86&gt;19999,settings!$Q$3,('Large District Weight'!G86*settings!$P$6)+settings!P91))</f>
        <v>0</v>
      </c>
    </row>
    <row r="87" spans="1:8">
      <c r="A87" t="str">
        <f>'Student Enrollment Data'!A89</f>
        <v>342</v>
      </c>
      <c r="B87">
        <f>'Student Enrollment Data'!B89</f>
        <v>342</v>
      </c>
      <c r="C87" t="str">
        <f>'Student Enrollment Data'!C89</f>
        <v>Culdesac Joint School District # 342</v>
      </c>
      <c r="D87">
        <v>0</v>
      </c>
      <c r="E87" s="34">
        <f>IF(settings!$G$4=0,'Student Enrollment Data'!BA89,'Student Enrollment Data'!CN89)</f>
        <v>44</v>
      </c>
      <c r="F87" s="34">
        <f>IF(settings!$G$4=0,'Student Enrollment Data'!BB89,'Student Enrollment Data'!CO89)</f>
        <v>100</v>
      </c>
      <c r="G87" s="39">
        <f t="shared" si="1"/>
        <v>144</v>
      </c>
      <c r="H87">
        <f>IF(G87&lt;20000,0,IF(G87&gt;19999,settings!$Q$3,('Large District Weight'!G87*settings!$P$6)+settings!P92))</f>
        <v>0</v>
      </c>
    </row>
    <row r="88" spans="1:8">
      <c r="A88" t="str">
        <f>'Student Enrollment Data'!A90</f>
        <v>351</v>
      </c>
      <c r="B88">
        <f>'Student Enrollment Data'!B90</f>
        <v>351</v>
      </c>
      <c r="C88" t="str">
        <f>'Student Enrollment Data'!C90</f>
        <v>Oneida County School District # 351</v>
      </c>
      <c r="D88">
        <v>0</v>
      </c>
      <c r="E88" s="34">
        <f>IF(settings!$G$4=0,'Student Enrollment Data'!BA90,'Student Enrollment Data'!CN90)</f>
        <v>1650</v>
      </c>
      <c r="F88" s="34">
        <f>IF(settings!$G$4=0,'Student Enrollment Data'!BB90,'Student Enrollment Data'!CO90)</f>
        <v>623</v>
      </c>
      <c r="G88" s="39">
        <f t="shared" si="1"/>
        <v>2273</v>
      </c>
      <c r="H88">
        <f>IF(G88&lt;20000,0,IF(G88&gt;19999,settings!$Q$3,('Large District Weight'!G88*settings!$P$6)+settings!P93))</f>
        <v>0</v>
      </c>
    </row>
    <row r="89" spans="1:8">
      <c r="A89" t="str">
        <f>'Student Enrollment Data'!A91</f>
        <v>363</v>
      </c>
      <c r="B89">
        <f>'Student Enrollment Data'!B91</f>
        <v>363</v>
      </c>
      <c r="C89" t="str">
        <f>'Student Enrollment Data'!C91</f>
        <v>Marsing Joint School District # 363</v>
      </c>
      <c r="D89">
        <v>0</v>
      </c>
      <c r="E89" s="34">
        <f>IF(settings!$G$4=0,'Student Enrollment Data'!BA91,'Student Enrollment Data'!CN91)</f>
        <v>422.5</v>
      </c>
      <c r="F89" s="34">
        <f>IF(settings!$G$4=0,'Student Enrollment Data'!BB91,'Student Enrollment Data'!CO91)</f>
        <v>404</v>
      </c>
      <c r="G89" s="39">
        <f t="shared" si="1"/>
        <v>826.5</v>
      </c>
      <c r="H89">
        <f>IF(G89&lt;20000,0,IF(G89&gt;19999,settings!$Q$3,('Large District Weight'!G89*settings!$P$6)+settings!P94))</f>
        <v>0</v>
      </c>
    </row>
    <row r="90" spans="1:8">
      <c r="A90" t="str">
        <f>'Student Enrollment Data'!A92</f>
        <v>364</v>
      </c>
      <c r="B90">
        <f>'Student Enrollment Data'!B92</f>
        <v>364</v>
      </c>
      <c r="C90" t="str">
        <f>'Student Enrollment Data'!C92</f>
        <v>Pleasant Valley Elem. School District # 364</v>
      </c>
      <c r="D90">
        <v>0</v>
      </c>
      <c r="E90" s="34">
        <f>IF(settings!$G$4=0,'Student Enrollment Data'!BA92,'Student Enrollment Data'!CN92)</f>
        <v>6</v>
      </c>
      <c r="F90" s="34">
        <f>IF(settings!$G$4=0,'Student Enrollment Data'!BB92,'Student Enrollment Data'!CO92)</f>
        <v>0</v>
      </c>
      <c r="G90" s="39">
        <f t="shared" si="1"/>
        <v>6</v>
      </c>
      <c r="H90">
        <f>IF(G90&lt;20000,0,IF(G90&gt;19999,settings!$Q$3,('Large District Weight'!G90*settings!$P$6)+settings!P95))</f>
        <v>0</v>
      </c>
    </row>
    <row r="91" spans="1:8">
      <c r="A91" t="str">
        <f>'Student Enrollment Data'!A93</f>
        <v>365</v>
      </c>
      <c r="B91">
        <f>'Student Enrollment Data'!B93</f>
        <v>365</v>
      </c>
      <c r="C91" t="str">
        <f>'Student Enrollment Data'!C93</f>
        <v>Bruneau-Grand View Jt. School District # 365</v>
      </c>
      <c r="D91">
        <v>0</v>
      </c>
      <c r="E91" s="34">
        <f>IF(settings!$G$4=0,'Student Enrollment Data'!BA93,'Student Enrollment Data'!CN93)</f>
        <v>143.5</v>
      </c>
      <c r="F91" s="34">
        <f>IF(settings!$G$4=0,'Student Enrollment Data'!BB93,'Student Enrollment Data'!CO93)</f>
        <v>147</v>
      </c>
      <c r="G91" s="39">
        <f t="shared" si="1"/>
        <v>290.5</v>
      </c>
      <c r="H91">
        <f>IF(G91&lt;20000,0,IF(G91&gt;19999,settings!$Q$3,('Large District Weight'!G91*settings!$P$6)+settings!P96))</f>
        <v>0</v>
      </c>
    </row>
    <row r="92" spans="1:8">
      <c r="A92" t="str">
        <f>'Student Enrollment Data'!A94</f>
        <v>370</v>
      </c>
      <c r="B92">
        <f>'Student Enrollment Data'!B94</f>
        <v>370</v>
      </c>
      <c r="C92" t="str">
        <f>'Student Enrollment Data'!C94</f>
        <v>Homedale Joint School District # 370</v>
      </c>
      <c r="D92">
        <v>0</v>
      </c>
      <c r="E92" s="34">
        <f>IF(settings!$G$4=0,'Student Enrollment Data'!BA94,'Student Enrollment Data'!CN94)</f>
        <v>610</v>
      </c>
      <c r="F92" s="34">
        <f>IF(settings!$G$4=0,'Student Enrollment Data'!BB94,'Student Enrollment Data'!CO94)</f>
        <v>558</v>
      </c>
      <c r="G92" s="39">
        <f t="shared" si="1"/>
        <v>1168</v>
      </c>
      <c r="H92">
        <f>IF(G92&lt;20000,0,IF(G92&gt;19999,settings!$Q$3,('Large District Weight'!G92*settings!$P$6)+settings!P97))</f>
        <v>0</v>
      </c>
    </row>
    <row r="93" spans="1:8">
      <c r="A93" t="str">
        <f>'Student Enrollment Data'!A95</f>
        <v>371</v>
      </c>
      <c r="B93">
        <f>'Student Enrollment Data'!B95</f>
        <v>371</v>
      </c>
      <c r="C93" t="str">
        <f>'Student Enrollment Data'!C95</f>
        <v>Payette Joint School District # 371</v>
      </c>
      <c r="D93">
        <v>0</v>
      </c>
      <c r="E93" s="34">
        <f>IF(settings!$G$4=0,'Student Enrollment Data'!BA95,'Student Enrollment Data'!CN95)</f>
        <v>794</v>
      </c>
      <c r="F93" s="34">
        <f>IF(settings!$G$4=0,'Student Enrollment Data'!BB95,'Student Enrollment Data'!CO95)</f>
        <v>697.91921568627447</v>
      </c>
      <c r="G93" s="39">
        <f t="shared" si="1"/>
        <v>1491.9192156862746</v>
      </c>
      <c r="H93">
        <f>IF(G93&lt;20000,0,IF(G93&gt;19999,settings!$Q$3,('Large District Weight'!G93*settings!$P$6)+settings!P98))</f>
        <v>0</v>
      </c>
    </row>
    <row r="94" spans="1:8">
      <c r="A94" t="str">
        <f>'Student Enrollment Data'!A96</f>
        <v>372</v>
      </c>
      <c r="B94">
        <f>'Student Enrollment Data'!B96</f>
        <v>372</v>
      </c>
      <c r="C94" t="str">
        <f>'Student Enrollment Data'!C96</f>
        <v>New Plymouth School District # 372</v>
      </c>
      <c r="D94">
        <v>0</v>
      </c>
      <c r="E94" s="34">
        <f>IF(settings!$G$4=0,'Student Enrollment Data'!BA96,'Student Enrollment Data'!CN96)</f>
        <v>471.84901960784316</v>
      </c>
      <c r="F94" s="34">
        <f>IF(settings!$G$4=0,'Student Enrollment Data'!BB96,'Student Enrollment Data'!CO96)</f>
        <v>483</v>
      </c>
      <c r="G94" s="39">
        <f t="shared" si="1"/>
        <v>954.84901960784316</v>
      </c>
      <c r="H94">
        <f>IF(G94&lt;20000,0,IF(G94&gt;19999,settings!$Q$3,('Large District Weight'!G94*settings!$P$6)+settings!P99))</f>
        <v>0</v>
      </c>
    </row>
    <row r="95" spans="1:8">
      <c r="A95" t="str">
        <f>'Student Enrollment Data'!A97</f>
        <v>373</v>
      </c>
      <c r="B95">
        <f>'Student Enrollment Data'!B97</f>
        <v>373</v>
      </c>
      <c r="C95" t="str">
        <f>'Student Enrollment Data'!C97</f>
        <v>Fruitland School District # 373</v>
      </c>
      <c r="D95">
        <v>0</v>
      </c>
      <c r="E95" s="34">
        <f>IF(settings!$G$4=0,'Student Enrollment Data'!BA97,'Student Enrollment Data'!CN97)</f>
        <v>869.5</v>
      </c>
      <c r="F95" s="34">
        <f>IF(settings!$G$4=0,'Student Enrollment Data'!BB97,'Student Enrollment Data'!CO97)</f>
        <v>827.36274509803923</v>
      </c>
      <c r="G95" s="39">
        <f t="shared" si="1"/>
        <v>1696.8627450980393</v>
      </c>
      <c r="H95">
        <f>IF(G95&lt;20000,0,IF(G95&gt;19999,settings!$Q$3,('Large District Weight'!G95*settings!$P$6)+settings!P100))</f>
        <v>0</v>
      </c>
    </row>
    <row r="96" spans="1:8">
      <c r="A96" t="str">
        <f>'Student Enrollment Data'!A98</f>
        <v>381</v>
      </c>
      <c r="B96">
        <f>'Student Enrollment Data'!B98</f>
        <v>381</v>
      </c>
      <c r="C96" t="str">
        <f>'Student Enrollment Data'!C98</f>
        <v>American Falls Joint School District # 381</v>
      </c>
      <c r="D96">
        <v>0</v>
      </c>
      <c r="E96" s="34">
        <f>IF(settings!$G$4=0,'Student Enrollment Data'!BA98,'Student Enrollment Data'!CN98)</f>
        <v>731</v>
      </c>
      <c r="F96" s="34">
        <f>IF(settings!$G$4=0,'Student Enrollment Data'!BB98,'Student Enrollment Data'!CO98)</f>
        <v>676.11568627450981</v>
      </c>
      <c r="G96" s="39">
        <f t="shared" si="1"/>
        <v>1407.1156862745097</v>
      </c>
      <c r="H96">
        <f>IF(G96&lt;20000,0,IF(G96&gt;19999,settings!$Q$3,('Large District Weight'!G96*settings!$P$6)+settings!P101))</f>
        <v>0</v>
      </c>
    </row>
    <row r="97" spans="1:8">
      <c r="A97" t="str">
        <f>'Student Enrollment Data'!A99</f>
        <v>382</v>
      </c>
      <c r="B97">
        <f>'Student Enrollment Data'!B99</f>
        <v>382</v>
      </c>
      <c r="C97" t="str">
        <f>'Student Enrollment Data'!C99</f>
        <v>Rockland School District # 382</v>
      </c>
      <c r="D97">
        <v>0</v>
      </c>
      <c r="E97" s="34">
        <f>IF(settings!$G$4=0,'Student Enrollment Data'!BA99,'Student Enrollment Data'!CN99)</f>
        <v>80</v>
      </c>
      <c r="F97" s="34">
        <f>IF(settings!$G$4=0,'Student Enrollment Data'!BB99,'Student Enrollment Data'!CO99)</f>
        <v>100</v>
      </c>
      <c r="G97" s="39">
        <f t="shared" si="1"/>
        <v>180</v>
      </c>
      <c r="H97">
        <f>IF(G97&lt;20000,0,IF(G97&gt;19999,settings!$Q$3,('Large District Weight'!G97*settings!$P$6)+settings!P102))</f>
        <v>0</v>
      </c>
    </row>
    <row r="98" spans="1:8">
      <c r="A98" t="str">
        <f>'Student Enrollment Data'!A100</f>
        <v>383</v>
      </c>
      <c r="B98">
        <f>'Student Enrollment Data'!B100</f>
        <v>383</v>
      </c>
      <c r="C98" t="str">
        <f>'Student Enrollment Data'!C100</f>
        <v>Arbon Elementary School District # 383</v>
      </c>
      <c r="D98">
        <v>0</v>
      </c>
      <c r="E98" s="34">
        <f>IF(settings!$G$4=0,'Student Enrollment Data'!BA100,'Student Enrollment Data'!CN100)</f>
        <v>15.5</v>
      </c>
      <c r="F98" s="34">
        <f>IF(settings!$G$4=0,'Student Enrollment Data'!BB100,'Student Enrollment Data'!CO100)</f>
        <v>0</v>
      </c>
      <c r="G98" s="39">
        <f t="shared" si="1"/>
        <v>15.5</v>
      </c>
      <c r="H98">
        <f>IF(G98&lt;20000,0,IF(G98&gt;19999,settings!$Q$3,('Large District Weight'!G98*settings!$P$6)+settings!P103))</f>
        <v>0</v>
      </c>
    </row>
    <row r="99" spans="1:8">
      <c r="A99" t="str">
        <f>'Student Enrollment Data'!A101</f>
        <v>391</v>
      </c>
      <c r="B99">
        <f>'Student Enrollment Data'!B101</f>
        <v>391</v>
      </c>
      <c r="C99" t="str">
        <f>'Student Enrollment Data'!C101</f>
        <v>Kellogg Joint School District # 391</v>
      </c>
      <c r="D99">
        <v>0</v>
      </c>
      <c r="E99" s="34">
        <f>IF(settings!$G$4=0,'Student Enrollment Data'!BA101,'Student Enrollment Data'!CN101)</f>
        <v>558</v>
      </c>
      <c r="F99" s="34">
        <f>IF(settings!$G$4=0,'Student Enrollment Data'!BB101,'Student Enrollment Data'!CO101)</f>
        <v>491.23137254901962</v>
      </c>
      <c r="G99" s="39">
        <f t="shared" si="1"/>
        <v>1049.2313725490196</v>
      </c>
      <c r="H99">
        <f>IF(G99&lt;20000,0,IF(G99&gt;19999,settings!$Q$3,('Large District Weight'!G99*settings!$P$6)+settings!P104))</f>
        <v>0</v>
      </c>
    </row>
    <row r="100" spans="1:8">
      <c r="A100" t="str">
        <f>'Student Enrollment Data'!A102</f>
        <v>392</v>
      </c>
      <c r="B100">
        <f>'Student Enrollment Data'!B102</f>
        <v>392</v>
      </c>
      <c r="C100" t="str">
        <f>'Student Enrollment Data'!C102</f>
        <v>Mullan School District # 392</v>
      </c>
      <c r="D100">
        <v>0</v>
      </c>
      <c r="E100" s="34">
        <f>IF(settings!$G$4=0,'Student Enrollment Data'!BA102,'Student Enrollment Data'!CN102)</f>
        <v>46</v>
      </c>
      <c r="F100" s="34">
        <f>IF(settings!$G$4=0,'Student Enrollment Data'!BB102,'Student Enrollment Data'!CO102)</f>
        <v>100</v>
      </c>
      <c r="G100" s="39">
        <f t="shared" si="1"/>
        <v>146</v>
      </c>
      <c r="H100">
        <f>IF(G100&lt;20000,0,IF(G100&gt;19999,settings!$Q$3,('Large District Weight'!G100*settings!$P$6)+settings!P105))</f>
        <v>0</v>
      </c>
    </row>
    <row r="101" spans="1:8">
      <c r="A101" t="str">
        <f>'Student Enrollment Data'!A103</f>
        <v>393</v>
      </c>
      <c r="B101">
        <f>'Student Enrollment Data'!B103</f>
        <v>393</v>
      </c>
      <c r="C101" t="str">
        <f>'Student Enrollment Data'!C103</f>
        <v>Wallace School District # 393</v>
      </c>
      <c r="D101">
        <v>0</v>
      </c>
      <c r="E101" s="34">
        <f>IF(settings!$G$4=0,'Student Enrollment Data'!BA103,'Student Enrollment Data'!CN103)</f>
        <v>239.5</v>
      </c>
      <c r="F101" s="34">
        <f>IF(settings!$G$4=0,'Student Enrollment Data'!BB103,'Student Enrollment Data'!CO103)</f>
        <v>220</v>
      </c>
      <c r="G101" s="39">
        <f t="shared" si="1"/>
        <v>459.5</v>
      </c>
      <c r="H101">
        <f>IF(G101&lt;20000,0,IF(G101&gt;19999,settings!$Q$3,('Large District Weight'!G101*settings!$P$6)+settings!P106))</f>
        <v>0</v>
      </c>
    </row>
    <row r="102" spans="1:8">
      <c r="A102" t="str">
        <f>'Student Enrollment Data'!A104</f>
        <v>394</v>
      </c>
      <c r="B102">
        <f>'Student Enrollment Data'!B104</f>
        <v>394</v>
      </c>
      <c r="C102" t="str">
        <f>'Student Enrollment Data'!C104</f>
        <v>Avery School District # 394</v>
      </c>
      <c r="D102">
        <v>0</v>
      </c>
      <c r="E102" s="34">
        <f>IF(settings!$G$4=0,'Student Enrollment Data'!BA104,'Student Enrollment Data'!CN104)</f>
        <v>15</v>
      </c>
      <c r="F102" s="34">
        <f>IF(settings!$G$4=0,'Student Enrollment Data'!BB104,'Student Enrollment Data'!CO104)</f>
        <v>2</v>
      </c>
      <c r="G102" s="39">
        <f t="shared" si="1"/>
        <v>17</v>
      </c>
      <c r="H102">
        <f>IF(G102&lt;20000,0,IF(G102&gt;19999,settings!$Q$3,('Large District Weight'!G102*settings!$P$6)+settings!P107))</f>
        <v>0</v>
      </c>
    </row>
    <row r="103" spans="1:8">
      <c r="A103" t="str">
        <f>'Student Enrollment Data'!A105</f>
        <v>401</v>
      </c>
      <c r="B103">
        <f>'Student Enrollment Data'!B105</f>
        <v>401</v>
      </c>
      <c r="C103" t="str">
        <f>'Student Enrollment Data'!C105</f>
        <v>Teton County School District # 401</v>
      </c>
      <c r="D103">
        <v>0</v>
      </c>
      <c r="E103" s="34">
        <f>IF(settings!$G$4=0,'Student Enrollment Data'!BA105,'Student Enrollment Data'!CN105)</f>
        <v>939</v>
      </c>
      <c r="F103" s="34">
        <f>IF(settings!$G$4=0,'Student Enrollment Data'!BB105,'Student Enrollment Data'!CO105)</f>
        <v>808</v>
      </c>
      <c r="G103" s="39">
        <f t="shared" si="1"/>
        <v>1747</v>
      </c>
      <c r="H103">
        <f>IF(G103&lt;20000,0,IF(G103&gt;19999,settings!$Q$3,('Large District Weight'!G103*settings!$P$6)+settings!P108))</f>
        <v>0</v>
      </c>
    </row>
    <row r="104" spans="1:8">
      <c r="A104" t="str">
        <f>'Student Enrollment Data'!A106</f>
        <v>411</v>
      </c>
      <c r="B104">
        <f>'Student Enrollment Data'!B106</f>
        <v>411</v>
      </c>
      <c r="C104" t="str">
        <f>'Student Enrollment Data'!C106</f>
        <v>Twin Falls School District # 411</v>
      </c>
      <c r="D104">
        <v>0</v>
      </c>
      <c r="E104" s="34">
        <f>IF(settings!$G$4=0,'Student Enrollment Data'!BA106,'Student Enrollment Data'!CN106)</f>
        <v>5019.2426645658261</v>
      </c>
      <c r="F104" s="34">
        <f>IF(settings!$G$4=0,'Student Enrollment Data'!BB106,'Student Enrollment Data'!CO106)</f>
        <v>4045.6692311624652</v>
      </c>
      <c r="G104" s="39">
        <f t="shared" si="1"/>
        <v>9064.9118957282917</v>
      </c>
      <c r="H104">
        <f>IF(G104&lt;20000,0,IF(G104&gt;19999,settings!$Q$3,('Large District Weight'!G104*settings!$P$6)+settings!P109))</f>
        <v>0</v>
      </c>
    </row>
    <row r="105" spans="1:8">
      <c r="A105" t="str">
        <f>'Student Enrollment Data'!A107</f>
        <v>412</v>
      </c>
      <c r="B105">
        <f>'Student Enrollment Data'!B107</f>
        <v>412</v>
      </c>
      <c r="C105" t="str">
        <f>'Student Enrollment Data'!C107</f>
        <v>Buhl Joint School District # 412</v>
      </c>
      <c r="D105">
        <v>0</v>
      </c>
      <c r="E105" s="34">
        <f>IF(settings!$G$4=0,'Student Enrollment Data'!BA107,'Student Enrollment Data'!CN107)</f>
        <v>654.48774509803923</v>
      </c>
      <c r="F105" s="34">
        <f>IF(settings!$G$4=0,'Student Enrollment Data'!BB107,'Student Enrollment Data'!CO107)</f>
        <v>558.45980392156866</v>
      </c>
      <c r="G105" s="39">
        <f t="shared" si="1"/>
        <v>1212.9475490196078</v>
      </c>
      <c r="H105">
        <f>IF(G105&lt;20000,0,IF(G105&gt;19999,settings!$Q$3,('Large District Weight'!G105*settings!$P$6)+settings!P110))</f>
        <v>0</v>
      </c>
    </row>
    <row r="106" spans="1:8">
      <c r="A106" t="str">
        <f>'Student Enrollment Data'!A108</f>
        <v>413</v>
      </c>
      <c r="B106">
        <f>'Student Enrollment Data'!B108</f>
        <v>413</v>
      </c>
      <c r="C106" t="str">
        <f>'Student Enrollment Data'!C108</f>
        <v>Filer School District # 413</v>
      </c>
      <c r="D106">
        <v>0</v>
      </c>
      <c r="E106" s="34">
        <f>IF(settings!$G$4=0,'Student Enrollment Data'!BA108,'Student Enrollment Data'!CN108)</f>
        <v>806.5</v>
      </c>
      <c r="F106" s="34">
        <f>IF(settings!$G$4=0,'Student Enrollment Data'!BB108,'Student Enrollment Data'!CO108)</f>
        <v>789</v>
      </c>
      <c r="G106" s="39">
        <f t="shared" si="1"/>
        <v>1595.5</v>
      </c>
      <c r="H106">
        <f>IF(G106&lt;20000,0,IF(G106&gt;19999,settings!$Q$3,('Large District Weight'!G106*settings!$P$6)+settings!P111))</f>
        <v>0</v>
      </c>
    </row>
    <row r="107" spans="1:8">
      <c r="A107" t="str">
        <f>'Student Enrollment Data'!A109</f>
        <v>414</v>
      </c>
      <c r="B107">
        <f>'Student Enrollment Data'!B109</f>
        <v>414</v>
      </c>
      <c r="C107" t="str">
        <f>'Student Enrollment Data'!C109</f>
        <v>Kimberly School District # 414</v>
      </c>
      <c r="D107">
        <v>0</v>
      </c>
      <c r="E107" s="34">
        <f>IF(settings!$G$4=0,'Student Enrollment Data'!BA109,'Student Enrollment Data'!CN109)</f>
        <v>1048</v>
      </c>
      <c r="F107" s="34">
        <f>IF(settings!$G$4=0,'Student Enrollment Data'!BB109,'Student Enrollment Data'!CO109)</f>
        <v>852.97647058823532</v>
      </c>
      <c r="G107" s="39">
        <f t="shared" si="1"/>
        <v>1900.9764705882353</v>
      </c>
      <c r="H107">
        <f>IF(G107&lt;20000,0,IF(G107&gt;19999,settings!$Q$3,('Large District Weight'!G107*settings!$P$6)+settings!P112))</f>
        <v>0</v>
      </c>
    </row>
    <row r="108" spans="1:8">
      <c r="A108" t="str">
        <f>'Student Enrollment Data'!A110</f>
        <v>415</v>
      </c>
      <c r="B108">
        <f>'Student Enrollment Data'!B110</f>
        <v>415</v>
      </c>
      <c r="C108" t="str">
        <f>'Student Enrollment Data'!C110</f>
        <v>Hansen School District # 415</v>
      </c>
      <c r="D108">
        <v>0</v>
      </c>
      <c r="E108" s="34">
        <f>IF(settings!$G$4=0,'Student Enrollment Data'!BA110,'Student Enrollment Data'!CN110)</f>
        <v>152.5</v>
      </c>
      <c r="F108" s="34">
        <f>IF(settings!$G$4=0,'Student Enrollment Data'!BB110,'Student Enrollment Data'!CO110)</f>
        <v>134</v>
      </c>
      <c r="G108" s="39">
        <f t="shared" si="1"/>
        <v>286.5</v>
      </c>
      <c r="H108">
        <f>IF(G108&lt;20000,0,IF(G108&gt;19999,settings!$Q$3,('Large District Weight'!G108*settings!$P$6)+settings!P113))</f>
        <v>0</v>
      </c>
    </row>
    <row r="109" spans="1:8">
      <c r="A109" t="str">
        <f>'Student Enrollment Data'!A111</f>
        <v>416</v>
      </c>
      <c r="B109">
        <f>'Student Enrollment Data'!B111</f>
        <v>416</v>
      </c>
      <c r="C109" t="str">
        <f>'Student Enrollment Data'!C111</f>
        <v>Three Creek Joint Elem. School District # 416</v>
      </c>
      <c r="D109">
        <v>0</v>
      </c>
      <c r="E109" s="34">
        <f>IF(settings!$G$4=0,'Student Enrollment Data'!BA111,'Student Enrollment Data'!CN111)</f>
        <v>3.5</v>
      </c>
      <c r="F109" s="34">
        <f>IF(settings!$G$4=0,'Student Enrollment Data'!BB111,'Student Enrollment Data'!CO111)</f>
        <v>2</v>
      </c>
      <c r="G109" s="39">
        <f t="shared" si="1"/>
        <v>5.5</v>
      </c>
      <c r="H109">
        <f>IF(G109&lt;20000,0,IF(G109&gt;19999,settings!$Q$3,('Large District Weight'!G109*settings!$P$6)+settings!P114))</f>
        <v>0</v>
      </c>
    </row>
    <row r="110" spans="1:8">
      <c r="A110" t="str">
        <f>'Student Enrollment Data'!A112</f>
        <v>417</v>
      </c>
      <c r="B110">
        <f>'Student Enrollment Data'!B112</f>
        <v>417</v>
      </c>
      <c r="C110" t="str">
        <f>'Student Enrollment Data'!C112</f>
        <v>Castleford Joint School District # 417</v>
      </c>
      <c r="D110">
        <v>0</v>
      </c>
      <c r="E110" s="34">
        <f>IF(settings!$G$4=0,'Student Enrollment Data'!BA112,'Student Enrollment Data'!CN112)</f>
        <v>176</v>
      </c>
      <c r="F110" s="34">
        <f>IF(settings!$G$4=0,'Student Enrollment Data'!BB112,'Student Enrollment Data'!CO112)</f>
        <v>162</v>
      </c>
      <c r="G110" s="39">
        <f t="shared" si="1"/>
        <v>338</v>
      </c>
      <c r="H110">
        <f>IF(G110&lt;20000,0,IF(G110&gt;19999,settings!$Q$3,('Large District Weight'!G110*settings!$P$6)+settings!P115))</f>
        <v>0</v>
      </c>
    </row>
    <row r="111" spans="1:8">
      <c r="A111" t="str">
        <f>'Student Enrollment Data'!A113</f>
        <v>418</v>
      </c>
      <c r="B111">
        <f>'Student Enrollment Data'!B113</f>
        <v>418</v>
      </c>
      <c r="C111" t="str">
        <f>'Student Enrollment Data'!C113</f>
        <v>Murtaugh Joint School District # 418</v>
      </c>
      <c r="D111">
        <v>0</v>
      </c>
      <c r="E111" s="34">
        <f>IF(settings!$G$4=0,'Student Enrollment Data'!BA113,'Student Enrollment Data'!CN113)</f>
        <v>213</v>
      </c>
      <c r="F111" s="34">
        <f>IF(settings!$G$4=0,'Student Enrollment Data'!BB113,'Student Enrollment Data'!CO113)</f>
        <v>130</v>
      </c>
      <c r="G111" s="39">
        <f t="shared" si="1"/>
        <v>343</v>
      </c>
      <c r="H111">
        <f>IF(G111&lt;20000,0,IF(G111&gt;19999,settings!$Q$3,('Large District Weight'!G111*settings!$P$6)+settings!P116))</f>
        <v>0</v>
      </c>
    </row>
    <row r="112" spans="1:8">
      <c r="A112" t="str">
        <f>'Student Enrollment Data'!A114</f>
        <v>421</v>
      </c>
      <c r="B112">
        <f>'Student Enrollment Data'!B114</f>
        <v>421</v>
      </c>
      <c r="C112" t="str">
        <f>'Student Enrollment Data'!C114</f>
        <v>McCall-Donnelly Joint School District # 421</v>
      </c>
      <c r="D112">
        <v>0</v>
      </c>
      <c r="E112" s="34">
        <f>IF(settings!$G$4=0,'Student Enrollment Data'!BA114,'Student Enrollment Data'!CN114)</f>
        <v>653</v>
      </c>
      <c r="F112" s="34">
        <f>IF(settings!$G$4=0,'Student Enrollment Data'!BB114,'Student Enrollment Data'!CO114)</f>
        <v>576</v>
      </c>
      <c r="G112" s="39">
        <f t="shared" si="1"/>
        <v>1229</v>
      </c>
      <c r="H112">
        <f>IF(G112&lt;20000,0,IF(G112&gt;19999,settings!$Q$3,('Large District Weight'!G112*settings!$P$6)+settings!P117))</f>
        <v>0</v>
      </c>
    </row>
    <row r="113" spans="1:8">
      <c r="A113" t="str">
        <f>'Student Enrollment Data'!A115</f>
        <v>422</v>
      </c>
      <c r="B113">
        <f>'Student Enrollment Data'!B115</f>
        <v>422</v>
      </c>
      <c r="C113" t="str">
        <f>'Student Enrollment Data'!C115</f>
        <v>Cascade School District # 422</v>
      </c>
      <c r="D113">
        <v>0</v>
      </c>
      <c r="E113" s="34">
        <f>IF(settings!$G$4=0,'Student Enrollment Data'!BA115,'Student Enrollment Data'!CN115)</f>
        <v>96</v>
      </c>
      <c r="F113" s="34">
        <f>IF(settings!$G$4=0,'Student Enrollment Data'!BB115,'Student Enrollment Data'!CO115)</f>
        <v>113</v>
      </c>
      <c r="G113" s="39">
        <f t="shared" si="1"/>
        <v>209</v>
      </c>
      <c r="H113">
        <f>IF(G113&lt;20000,0,IF(G113&gt;19999,settings!$Q$3,('Large District Weight'!G113*settings!$P$6)+settings!P118))</f>
        <v>0</v>
      </c>
    </row>
    <row r="114" spans="1:8">
      <c r="A114" t="str">
        <f>'Student Enrollment Data'!A116</f>
        <v>431</v>
      </c>
      <c r="B114">
        <f>'Student Enrollment Data'!B116</f>
        <v>431</v>
      </c>
      <c r="C114" t="str">
        <f>'Student Enrollment Data'!C116</f>
        <v>Weiser School District # 431</v>
      </c>
      <c r="D114">
        <v>0</v>
      </c>
      <c r="E114" s="34">
        <f>IF(settings!$G$4=0,'Student Enrollment Data'!BA116,'Student Enrollment Data'!CN116)</f>
        <v>720.64605882352942</v>
      </c>
      <c r="F114" s="34">
        <f>IF(settings!$G$4=0,'Student Enrollment Data'!BB116,'Student Enrollment Data'!CO116)</f>
        <v>802.36465686274505</v>
      </c>
      <c r="G114" s="39">
        <f t="shared" si="1"/>
        <v>1523.0107156862746</v>
      </c>
      <c r="H114">
        <f>IF(G114&lt;20000,0,IF(G114&gt;19999,settings!$Q$3,('Large District Weight'!G114*settings!$P$6)+settings!P119))</f>
        <v>0</v>
      </c>
    </row>
    <row r="115" spans="1:8">
      <c r="A115" t="str">
        <f>'Student Enrollment Data'!A117</f>
        <v>432</v>
      </c>
      <c r="B115">
        <f>'Student Enrollment Data'!B117</f>
        <v>432</v>
      </c>
      <c r="C115" t="str">
        <f>'Student Enrollment Data'!C117</f>
        <v>Cambridge Joint School District # 432</v>
      </c>
      <c r="D115">
        <v>0</v>
      </c>
      <c r="E115" s="34">
        <f>IF(settings!$G$4=0,'Student Enrollment Data'!BA117,'Student Enrollment Data'!CN117)</f>
        <v>63</v>
      </c>
      <c r="F115" s="34">
        <f>IF(settings!$G$4=0,'Student Enrollment Data'!BB117,'Student Enrollment Data'!CO117)</f>
        <v>100</v>
      </c>
      <c r="G115" s="39">
        <f t="shared" si="1"/>
        <v>163</v>
      </c>
      <c r="H115">
        <f>IF(G115&lt;20000,0,IF(G115&gt;19999,settings!$Q$3,('Large District Weight'!G115*settings!$P$6)+settings!P120))</f>
        <v>0</v>
      </c>
    </row>
    <row r="116" spans="1:8">
      <c r="A116" t="str">
        <f>'Student Enrollment Data'!A118</f>
        <v>433</v>
      </c>
      <c r="B116">
        <f>'Student Enrollment Data'!B118</f>
        <v>433</v>
      </c>
      <c r="C116" t="str">
        <f>'Student Enrollment Data'!C118</f>
        <v>Midvale School District # 433</v>
      </c>
      <c r="D116">
        <v>0</v>
      </c>
      <c r="E116" s="34">
        <f>IF(settings!$G$4=0,'Student Enrollment Data'!BA118,'Student Enrollment Data'!CN118)</f>
        <v>53</v>
      </c>
      <c r="F116" s="34">
        <f>IF(settings!$G$4=0,'Student Enrollment Data'!BB118,'Student Enrollment Data'!CO118)</f>
        <v>100</v>
      </c>
      <c r="G116" s="39">
        <f t="shared" si="1"/>
        <v>153</v>
      </c>
      <c r="H116">
        <f>IF(G116&lt;20000,0,IF(G116&gt;19999,settings!$Q$3,('Large District Weight'!G116*settings!$P$6)+settings!P121))</f>
        <v>0</v>
      </c>
    </row>
    <row r="117" spans="1:8">
      <c r="A117" t="str">
        <f>'Student Enrollment Data'!A119</f>
        <v>451</v>
      </c>
      <c r="B117">
        <f>'Student Enrollment Data'!B119</f>
        <v>451</v>
      </c>
      <c r="C117" t="str">
        <f>'Student Enrollment Data'!C119</f>
        <v>Victory Charter School # 451</v>
      </c>
      <c r="D117">
        <v>1</v>
      </c>
      <c r="E117" s="34">
        <f>IF(settings!$G$4=0,'Student Enrollment Data'!BA119,'Student Enrollment Data'!CN119)</f>
        <v>192</v>
      </c>
      <c r="F117" s="34">
        <f>IF(settings!$G$4=0,'Student Enrollment Data'!BB119,'Student Enrollment Data'!CO119)</f>
        <v>202</v>
      </c>
      <c r="G117" s="39">
        <f t="shared" si="1"/>
        <v>394</v>
      </c>
      <c r="H117">
        <f>IF(G117&lt;20000,0,IF(G117&gt;19999,settings!$Q$3,('Large District Weight'!G117*settings!$P$6)+settings!P122))</f>
        <v>0</v>
      </c>
    </row>
    <row r="118" spans="1:8">
      <c r="A118" t="str">
        <f>'Student Enrollment Data'!A120</f>
        <v>452</v>
      </c>
      <c r="B118">
        <f>'Student Enrollment Data'!B120</f>
        <v>452</v>
      </c>
      <c r="C118" t="str">
        <f>'Student Enrollment Data'!C120</f>
        <v>Idaho Virtual Academy # 452</v>
      </c>
      <c r="D118">
        <v>1</v>
      </c>
      <c r="E118" s="34">
        <f>IF(settings!$G$4=0,'Student Enrollment Data'!BA120,'Student Enrollment Data'!CN120)</f>
        <v>609.5</v>
      </c>
      <c r="F118" s="34">
        <f>IF(settings!$G$4=0,'Student Enrollment Data'!BB120,'Student Enrollment Data'!CO120)</f>
        <v>1152.8156862745097</v>
      </c>
      <c r="G118" s="39">
        <f t="shared" si="1"/>
        <v>1762.3156862745097</v>
      </c>
      <c r="H118">
        <f>IF(G118&lt;20000,0,IF(G118&gt;19999,settings!$Q$3,('Large District Weight'!G118*settings!$P$6)+settings!P123))</f>
        <v>0</v>
      </c>
    </row>
    <row r="119" spans="1:8">
      <c r="A119" t="str">
        <f>'Student Enrollment Data'!A121</f>
        <v>453</v>
      </c>
      <c r="B119">
        <f>'Student Enrollment Data'!B121</f>
        <v>453</v>
      </c>
      <c r="C119" t="str">
        <f>'Student Enrollment Data'!C121</f>
        <v>McKenna Charter School # 453</v>
      </c>
      <c r="D119">
        <v>1</v>
      </c>
      <c r="E119" s="34">
        <f>IF(settings!$G$4=0,'Student Enrollment Data'!BA121,'Student Enrollment Data'!CN121)</f>
        <v>83.5</v>
      </c>
      <c r="F119" s="34">
        <f>IF(settings!$G$4=0,'Student Enrollment Data'!BB121,'Student Enrollment Data'!CO121)</f>
        <v>403.76568627450979</v>
      </c>
      <c r="G119" s="39">
        <f t="shared" si="1"/>
        <v>487.26568627450979</v>
      </c>
      <c r="H119">
        <f>IF(G119&lt;20000,0,IF(G119&gt;19999,settings!$Q$3,('Large District Weight'!G119*settings!$P$6)+settings!P124))</f>
        <v>0</v>
      </c>
    </row>
    <row r="120" spans="1:8">
      <c r="A120" t="str">
        <f>'Student Enrollment Data'!A122</f>
        <v>454</v>
      </c>
      <c r="B120">
        <f>'Student Enrollment Data'!B122</f>
        <v>454</v>
      </c>
      <c r="C120" t="str">
        <f>'Student Enrollment Data'!C122</f>
        <v>Rolling Hills Charter School # 454</v>
      </c>
      <c r="D120">
        <v>1</v>
      </c>
      <c r="E120" s="34">
        <f>IF(settings!$G$4=0,'Student Enrollment Data'!BA122,'Student Enrollment Data'!CN122)</f>
        <v>182.5</v>
      </c>
      <c r="F120" s="34">
        <f>IF(settings!$G$4=0,'Student Enrollment Data'!BB122,'Student Enrollment Data'!CO122)</f>
        <v>52</v>
      </c>
      <c r="G120" s="39">
        <f t="shared" si="1"/>
        <v>234.5</v>
      </c>
      <c r="H120">
        <f>IF(G120&lt;20000,0,IF(G120&gt;19999,settings!$Q$3,('Large District Weight'!G120*settings!$P$6)+settings!P125))</f>
        <v>0</v>
      </c>
    </row>
    <row r="121" spans="1:8">
      <c r="A121" t="str">
        <f>'Student Enrollment Data'!A123</f>
        <v>455</v>
      </c>
      <c r="B121">
        <f>'Student Enrollment Data'!B123</f>
        <v>455</v>
      </c>
      <c r="C121" t="str">
        <f>'Student Enrollment Data'!C123</f>
        <v>Compass Public Charter School # 455</v>
      </c>
      <c r="D121">
        <v>1</v>
      </c>
      <c r="E121" s="34">
        <f>IF(settings!$G$4=0,'Student Enrollment Data'!BA123,'Student Enrollment Data'!CN123)</f>
        <v>632.5</v>
      </c>
      <c r="F121" s="34">
        <f>IF(settings!$G$4=0,'Student Enrollment Data'!BB123,'Student Enrollment Data'!CO123)</f>
        <v>401</v>
      </c>
      <c r="G121" s="39">
        <f t="shared" si="1"/>
        <v>1033.5</v>
      </c>
      <c r="H121">
        <f>IF(G121&lt;20000,0,IF(G121&gt;19999,settings!$Q$3,('Large District Weight'!G121*settings!$P$6)+settings!P126))</f>
        <v>0</v>
      </c>
    </row>
    <row r="122" spans="1:8">
      <c r="A122" t="str">
        <f>'Student Enrollment Data'!A124</f>
        <v>456</v>
      </c>
      <c r="B122">
        <f>'Student Enrollment Data'!B124</f>
        <v>456</v>
      </c>
      <c r="C122" t="str">
        <f>'Student Enrollment Data'!C124</f>
        <v>Falcon Ridge Public Charter School # 456</v>
      </c>
      <c r="D122">
        <v>1</v>
      </c>
      <c r="E122" s="34">
        <f>IF(settings!$G$4=0,'Student Enrollment Data'!BA124,'Student Enrollment Data'!CN124)</f>
        <v>198</v>
      </c>
      <c r="F122" s="34">
        <f>IF(settings!$G$4=0,'Student Enrollment Data'!BB124,'Student Enrollment Data'!CO124)</f>
        <v>63</v>
      </c>
      <c r="G122" s="39">
        <f t="shared" si="1"/>
        <v>261</v>
      </c>
      <c r="H122">
        <f>IF(G122&lt;20000,0,IF(G122&gt;19999,settings!$Q$3,('Large District Weight'!G122*settings!$P$6)+settings!P127))</f>
        <v>0</v>
      </c>
    </row>
    <row r="123" spans="1:8">
      <c r="A123" t="str">
        <f>'Student Enrollment Data'!A125</f>
        <v>457</v>
      </c>
      <c r="B123">
        <f>'Student Enrollment Data'!B125</f>
        <v>457</v>
      </c>
      <c r="C123" t="str">
        <f>'Student Enrollment Data'!C125</f>
        <v>INSPIRE Connections Academy # 457</v>
      </c>
      <c r="D123">
        <v>1</v>
      </c>
      <c r="E123" s="34">
        <f>IF(settings!$G$4=0,'Student Enrollment Data'!BA125,'Student Enrollment Data'!CN125)</f>
        <v>268.5</v>
      </c>
      <c r="F123" s="34">
        <f>IF(settings!$G$4=0,'Student Enrollment Data'!BB125,'Student Enrollment Data'!CO125)</f>
        <v>695</v>
      </c>
      <c r="G123" s="39">
        <f t="shared" si="1"/>
        <v>963.5</v>
      </c>
      <c r="H123">
        <f>IF(G123&lt;20000,0,IF(G123&gt;19999,settings!$Q$3,('Large District Weight'!G123*settings!$P$6)+settings!P128))</f>
        <v>0</v>
      </c>
    </row>
    <row r="124" spans="1:8">
      <c r="A124" t="str">
        <f>'Student Enrollment Data'!A126</f>
        <v>458</v>
      </c>
      <c r="B124">
        <f>'Student Enrollment Data'!B126</f>
        <v>458</v>
      </c>
      <c r="C124" t="str">
        <f>'Student Enrollment Data'!C126</f>
        <v>Liberty Charter School # 458</v>
      </c>
      <c r="D124">
        <v>1</v>
      </c>
      <c r="E124" s="34">
        <f>IF(settings!$G$4=0,'Student Enrollment Data'!BA126,'Student Enrollment Data'!CN126)</f>
        <v>192</v>
      </c>
      <c r="F124" s="34">
        <f>IF(settings!$G$4=0,'Student Enrollment Data'!BB126,'Student Enrollment Data'!CO126)</f>
        <v>209</v>
      </c>
      <c r="G124" s="39">
        <f t="shared" si="1"/>
        <v>401</v>
      </c>
      <c r="H124">
        <f>IF(G124&lt;20000,0,IF(G124&gt;19999,settings!$Q$3,('Large District Weight'!G124*settings!$P$6)+settings!P129))</f>
        <v>0</v>
      </c>
    </row>
    <row r="125" spans="1:8">
      <c r="A125" t="str">
        <f>'Student Enrollment Data'!A127</f>
        <v>460</v>
      </c>
      <c r="B125">
        <f>'Student Enrollment Data'!B127</f>
        <v>460</v>
      </c>
      <c r="C125" t="str">
        <f>'Student Enrollment Data'!C127</f>
        <v>Connor Academy # 460</v>
      </c>
      <c r="D125">
        <v>1</v>
      </c>
      <c r="E125" s="34">
        <f>IF(settings!$G$4=0,'Student Enrollment Data'!BA127,'Student Enrollment Data'!CN127)</f>
        <v>399</v>
      </c>
      <c r="F125" s="34">
        <f>IF(settings!$G$4=0,'Student Enrollment Data'!BB127,'Student Enrollment Data'!CO127)</f>
        <v>129</v>
      </c>
      <c r="G125" s="39">
        <f t="shared" si="1"/>
        <v>528</v>
      </c>
      <c r="H125">
        <f>IF(G125&lt;20000,0,IF(G125&gt;19999,settings!$Q$3,('Large District Weight'!G125*settings!$P$6)+settings!P130))</f>
        <v>0</v>
      </c>
    </row>
    <row r="126" spans="1:8">
      <c r="A126" t="str">
        <f>'Student Enrollment Data'!A128</f>
        <v>461</v>
      </c>
      <c r="B126">
        <f>'Student Enrollment Data'!B128</f>
        <v>461</v>
      </c>
      <c r="C126" t="str">
        <f>'Student Enrollment Data'!C128</f>
        <v>Taylor's Crossing Public Charter School # 461</v>
      </c>
      <c r="D126">
        <v>1</v>
      </c>
      <c r="E126" s="34">
        <f>IF(settings!$G$4=0,'Student Enrollment Data'!BA128,'Student Enrollment Data'!CN128)</f>
        <v>207</v>
      </c>
      <c r="F126" s="34">
        <f>IF(settings!$G$4=0,'Student Enrollment Data'!BB128,'Student Enrollment Data'!CO128)</f>
        <v>145</v>
      </c>
      <c r="G126" s="39">
        <f t="shared" si="1"/>
        <v>352</v>
      </c>
      <c r="H126">
        <f>IF(G126&lt;20000,0,IF(G126&gt;19999,settings!$Q$3,('Large District Weight'!G126*settings!$P$6)+settings!P131))</f>
        <v>0</v>
      </c>
    </row>
    <row r="127" spans="1:8">
      <c r="A127" t="str">
        <f>'Student Enrollment Data'!A129</f>
        <v>462</v>
      </c>
      <c r="B127">
        <f>'Student Enrollment Data'!B129</f>
        <v>462</v>
      </c>
      <c r="C127" t="str">
        <f>'Student Enrollment Data'!C129</f>
        <v>Xavier Charter School # 462</v>
      </c>
      <c r="D127">
        <v>1</v>
      </c>
      <c r="E127" s="34">
        <f>IF(settings!$G$4=0,'Student Enrollment Data'!BA129,'Student Enrollment Data'!CN129)</f>
        <v>389</v>
      </c>
      <c r="F127" s="34">
        <f>IF(settings!$G$4=0,'Student Enrollment Data'!BB129,'Student Enrollment Data'!CO129)</f>
        <v>288</v>
      </c>
      <c r="G127" s="39">
        <f t="shared" si="1"/>
        <v>677</v>
      </c>
      <c r="H127">
        <f>IF(G127&lt;20000,0,IF(G127&gt;19999,settings!$Q$3,('Large District Weight'!G127*settings!$P$6)+settings!P132))</f>
        <v>0</v>
      </c>
    </row>
    <row r="128" spans="1:8">
      <c r="A128" t="str">
        <f>'Student Enrollment Data'!A130</f>
        <v>463</v>
      </c>
      <c r="B128">
        <f>'Student Enrollment Data'!B130</f>
        <v>463</v>
      </c>
      <c r="C128" t="str">
        <f>'Student Enrollment Data'!C130</f>
        <v>Vision Charter School # 463</v>
      </c>
      <c r="D128">
        <v>1</v>
      </c>
      <c r="E128" s="34">
        <f>IF(settings!$G$4=0,'Student Enrollment Data'!BA130,'Student Enrollment Data'!CN130)</f>
        <v>394</v>
      </c>
      <c r="F128" s="34">
        <f>IF(settings!$G$4=0,'Student Enrollment Data'!BB130,'Student Enrollment Data'!CO130)</f>
        <v>302</v>
      </c>
      <c r="G128" s="39">
        <f t="shared" si="1"/>
        <v>696</v>
      </c>
      <c r="H128">
        <f>IF(G128&lt;20000,0,IF(G128&gt;19999,settings!$Q$3,('Large District Weight'!G128*settings!$P$6)+settings!P133))</f>
        <v>0</v>
      </c>
    </row>
    <row r="129" spans="1:8">
      <c r="A129" t="str">
        <f>'Student Enrollment Data'!A131</f>
        <v>464</v>
      </c>
      <c r="B129">
        <f>'Student Enrollment Data'!B131</f>
        <v>464</v>
      </c>
      <c r="C129" t="str">
        <f>'Student Enrollment Data'!C131</f>
        <v>White Pine Charter School # 464</v>
      </c>
      <c r="D129">
        <v>1</v>
      </c>
      <c r="E129" s="34">
        <f>IF(settings!$G$4=0,'Student Enrollment Data'!BA131,'Student Enrollment Data'!CN131)</f>
        <v>425</v>
      </c>
      <c r="F129" s="34">
        <f>IF(settings!$G$4=0,'Student Enrollment Data'!BB131,'Student Enrollment Data'!CO131)</f>
        <v>77</v>
      </c>
      <c r="G129" s="39">
        <f t="shared" si="1"/>
        <v>502</v>
      </c>
      <c r="H129">
        <f>IF(G129&lt;20000,0,IF(G129&gt;19999,settings!$Q$3,('Large District Weight'!G129*settings!$P$6)+settings!P134))</f>
        <v>0</v>
      </c>
    </row>
    <row r="130" spans="1:8">
      <c r="A130" t="str">
        <f>'Student Enrollment Data'!A132</f>
        <v>465</v>
      </c>
      <c r="B130">
        <f>'Student Enrollment Data'!B132</f>
        <v>465</v>
      </c>
      <c r="C130" t="str">
        <f>'Student Enrollment Data'!C132</f>
        <v>North Valley Academy # 465</v>
      </c>
      <c r="D130">
        <v>1</v>
      </c>
      <c r="E130" s="34">
        <f>IF(settings!$G$4=0,'Student Enrollment Data'!BA132,'Student Enrollment Data'!CN132)</f>
        <v>125.5</v>
      </c>
      <c r="F130" s="34">
        <f>IF(settings!$G$4=0,'Student Enrollment Data'!BB132,'Student Enrollment Data'!CO132)</f>
        <v>88</v>
      </c>
      <c r="G130" s="39">
        <f t="shared" si="1"/>
        <v>213.5</v>
      </c>
      <c r="H130">
        <f>IF(G130&lt;20000,0,IF(G130&gt;19999,settings!$Q$3,('Large District Weight'!G130*settings!$P$6)+settings!P135))</f>
        <v>0</v>
      </c>
    </row>
    <row r="131" spans="1:8">
      <c r="A131" t="str">
        <f>'Student Enrollment Data'!A133</f>
        <v>466</v>
      </c>
      <c r="B131">
        <f>'Student Enrollment Data'!B133</f>
        <v>466</v>
      </c>
      <c r="C131" t="str">
        <f>'Student Enrollment Data'!C133</f>
        <v>iSucceed Virtual High School # 466</v>
      </c>
      <c r="D131">
        <v>1</v>
      </c>
      <c r="E131" s="34">
        <f>IF(settings!$G$4=0,'Student Enrollment Data'!BA133,'Student Enrollment Data'!CN133)</f>
        <v>0</v>
      </c>
      <c r="F131" s="34">
        <f>IF(settings!$G$4=0,'Student Enrollment Data'!BB133,'Student Enrollment Data'!CO133)</f>
        <v>562</v>
      </c>
      <c r="G131" s="39">
        <f t="shared" ref="G131:G174" si="2">E131+F131</f>
        <v>562</v>
      </c>
      <c r="H131">
        <f>IF(G131&lt;20000,0,IF(G131&gt;19999,settings!$Q$3,('Large District Weight'!G131*settings!$P$6)+settings!P136))</f>
        <v>0</v>
      </c>
    </row>
    <row r="132" spans="1:8">
      <c r="A132" t="str">
        <f>'Student Enrollment Data'!A134</f>
        <v>468</v>
      </c>
      <c r="B132">
        <f>'Student Enrollment Data'!B134</f>
        <v>468</v>
      </c>
      <c r="C132" t="str">
        <f>'Student Enrollment Data'!C134</f>
        <v>Idaho Science and Technology Charter School #468</v>
      </c>
      <c r="D132">
        <v>1</v>
      </c>
      <c r="E132" s="34">
        <f>IF(settings!$G$4=0,'Student Enrollment Data'!BA134,'Student Enrollment Data'!CN134)</f>
        <v>176</v>
      </c>
      <c r="F132" s="34">
        <f>IF(settings!$G$4=0,'Student Enrollment Data'!BB134,'Student Enrollment Data'!CO134)</f>
        <v>97</v>
      </c>
      <c r="G132" s="39">
        <f t="shared" si="2"/>
        <v>273</v>
      </c>
      <c r="H132">
        <f>IF(G132&lt;20000,0,IF(G132&gt;19999,settings!$Q$3,('Large District Weight'!G132*settings!$P$6)+settings!P137))</f>
        <v>0</v>
      </c>
    </row>
    <row r="133" spans="1:8">
      <c r="A133" t="str">
        <f>'Student Enrollment Data'!A135</f>
        <v>469</v>
      </c>
      <c r="B133">
        <f>'Student Enrollment Data'!B135</f>
        <v>469</v>
      </c>
      <c r="C133" t="str">
        <f>'Student Enrollment Data'!C135</f>
        <v>Idaho Connects Online (ICON) #469</v>
      </c>
      <c r="D133">
        <v>1</v>
      </c>
      <c r="E133" s="34">
        <f>IF(settings!$G$4=0,'Student Enrollment Data'!BA135,'Student Enrollment Data'!CN135)</f>
        <v>6</v>
      </c>
      <c r="F133" s="34">
        <f>IF(settings!$G$4=0,'Student Enrollment Data'!BB135,'Student Enrollment Data'!CO135)</f>
        <v>228.88725490196077</v>
      </c>
      <c r="G133" s="39">
        <f t="shared" si="2"/>
        <v>234.88725490196077</v>
      </c>
      <c r="H133">
        <f>IF(G133&lt;20000,0,IF(G133&gt;19999,settings!$Q$3,('Large District Weight'!G133*settings!$P$6)+settings!P138))</f>
        <v>0</v>
      </c>
    </row>
    <row r="134" spans="1:8">
      <c r="A134" t="str">
        <f>'Student Enrollment Data'!A136</f>
        <v>470</v>
      </c>
      <c r="B134">
        <f>'Student Enrollment Data'!B136</f>
        <v>470</v>
      </c>
      <c r="C134" t="str">
        <f>'Student Enrollment Data'!C136</f>
        <v>Kootenai Bridge Academy #470</v>
      </c>
      <c r="D134">
        <v>1</v>
      </c>
      <c r="E134" s="34">
        <f>IF(settings!$G$4=0,'Student Enrollment Data'!BA136,'Student Enrollment Data'!CN136)</f>
        <v>0</v>
      </c>
      <c r="F134" s="34">
        <f>IF(settings!$G$4=0,'Student Enrollment Data'!BB136,'Student Enrollment Data'!CO136)</f>
        <v>312.89411764705881</v>
      </c>
      <c r="G134" s="39">
        <f t="shared" si="2"/>
        <v>312.89411764705881</v>
      </c>
      <c r="H134">
        <f>IF(G134&lt;20000,0,IF(G134&gt;19999,settings!$Q$3,('Large District Weight'!G134*settings!$P$6)+settings!P139))</f>
        <v>0</v>
      </c>
    </row>
    <row r="135" spans="1:8">
      <c r="A135" t="str">
        <f>'Student Enrollment Data'!A137</f>
        <v>472</v>
      </c>
      <c r="B135">
        <f>'Student Enrollment Data'!B137</f>
        <v>472</v>
      </c>
      <c r="C135" t="str">
        <f>'Student Enrollment Data'!C137</f>
        <v>Palouse Prairie Charter School #472</v>
      </c>
      <c r="D135">
        <v>1</v>
      </c>
      <c r="E135" s="34">
        <f>IF(settings!$G$4=0,'Student Enrollment Data'!BA137,'Student Enrollment Data'!CN137)</f>
        <v>141</v>
      </c>
      <c r="F135" s="34">
        <f>IF(settings!$G$4=0,'Student Enrollment Data'!BB137,'Student Enrollment Data'!CO137)</f>
        <v>30</v>
      </c>
      <c r="G135" s="39">
        <f t="shared" si="2"/>
        <v>171</v>
      </c>
      <c r="H135">
        <f>IF(G135&lt;20000,0,IF(G135&gt;19999,settings!$Q$3,('Large District Weight'!G135*settings!$P$6)+settings!P140))</f>
        <v>0</v>
      </c>
    </row>
    <row r="136" spans="1:8">
      <c r="A136" t="str">
        <f>'Student Enrollment Data'!A138</f>
        <v>473</v>
      </c>
      <c r="B136">
        <f>'Student Enrollment Data'!B138</f>
        <v>473</v>
      </c>
      <c r="C136" t="str">
        <f>'Student Enrollment Data'!C138</f>
        <v>The Village Charter School #473</v>
      </c>
      <c r="D136">
        <v>1</v>
      </c>
      <c r="E136" s="34">
        <f>IF(settings!$G$4=0,'Student Enrollment Data'!BA138,'Student Enrollment Data'!CN138)</f>
        <v>356.5</v>
      </c>
      <c r="F136" s="34">
        <f>IF(settings!$G$4=0,'Student Enrollment Data'!BB138,'Student Enrollment Data'!CO138)</f>
        <v>104</v>
      </c>
      <c r="G136" s="39">
        <f t="shared" si="2"/>
        <v>460.5</v>
      </c>
      <c r="H136">
        <f>IF(G136&lt;20000,0,IF(G136&gt;19999,settings!$Q$3,('Large District Weight'!G136*settings!$P$6)+settings!P141))</f>
        <v>0</v>
      </c>
    </row>
    <row r="137" spans="1:8">
      <c r="A137" t="str">
        <f>'Student Enrollment Data'!A139</f>
        <v>474</v>
      </c>
      <c r="B137">
        <f>'Student Enrollment Data'!B139</f>
        <v>474</v>
      </c>
      <c r="C137" t="str">
        <f>'Student Enrollment Data'!C139</f>
        <v>Monticello Montessori Charter School #474</v>
      </c>
      <c r="D137">
        <v>1</v>
      </c>
      <c r="E137" s="34">
        <f>IF(settings!$G$4=0,'Student Enrollment Data'!BA139,'Student Enrollment Data'!CN139)</f>
        <v>195.5</v>
      </c>
      <c r="F137" s="34">
        <f>IF(settings!$G$4=0,'Student Enrollment Data'!BB139,'Student Enrollment Data'!CO139)</f>
        <v>18</v>
      </c>
      <c r="G137" s="39">
        <f t="shared" si="2"/>
        <v>213.5</v>
      </c>
      <c r="H137">
        <f>IF(G137&lt;20000,0,IF(G137&gt;19999,settings!$Q$3,('Large District Weight'!G137*settings!$P$6)+settings!P142))</f>
        <v>0</v>
      </c>
    </row>
    <row r="138" spans="1:8">
      <c r="A138" t="str">
        <f>'Student Enrollment Data'!A140</f>
        <v>475</v>
      </c>
      <c r="B138">
        <f>'Student Enrollment Data'!B140</f>
        <v>475</v>
      </c>
      <c r="C138" t="str">
        <f>'Student Enrollment Data'!C140</f>
        <v>Sage International School of Boise #475</v>
      </c>
      <c r="D138">
        <v>1</v>
      </c>
      <c r="E138" s="34">
        <f>IF(settings!$G$4=0,'Student Enrollment Data'!BA140,'Student Enrollment Data'!CN140)</f>
        <v>523.5</v>
      </c>
      <c r="F138" s="34">
        <f>IF(settings!$G$4=0,'Student Enrollment Data'!BB140,'Student Enrollment Data'!CO140)</f>
        <v>433</v>
      </c>
      <c r="G138" s="39">
        <f t="shared" si="2"/>
        <v>956.5</v>
      </c>
      <c r="H138">
        <f>IF(G138&lt;20000,0,IF(G138&gt;19999,settings!$Q$3,('Large District Weight'!G138*settings!$P$6)+settings!P143))</f>
        <v>0</v>
      </c>
    </row>
    <row r="139" spans="1:8">
      <c r="A139" t="str">
        <f>'Student Enrollment Data'!A141</f>
        <v>476</v>
      </c>
      <c r="B139">
        <f>'Student Enrollment Data'!B141</f>
        <v>476</v>
      </c>
      <c r="C139" t="str">
        <f>'Student Enrollment Data'!C141</f>
        <v>Another Choice Virtual Charter School #476</v>
      </c>
      <c r="D139">
        <v>1</v>
      </c>
      <c r="E139" s="34">
        <f>IF(settings!$G$4=0,'Student Enrollment Data'!BA141,'Student Enrollment Data'!CN141)</f>
        <v>120</v>
      </c>
      <c r="F139" s="34">
        <f>IF(settings!$G$4=0,'Student Enrollment Data'!BB141,'Student Enrollment Data'!CO141)</f>
        <v>415.61176470588236</v>
      </c>
      <c r="G139" s="39">
        <f t="shared" si="2"/>
        <v>535.61176470588236</v>
      </c>
      <c r="H139">
        <f>IF(G139&lt;20000,0,IF(G139&gt;19999,settings!$Q$3,('Large District Weight'!G139*settings!$P$6)+settings!P144))</f>
        <v>0</v>
      </c>
    </row>
    <row r="140" spans="1:8">
      <c r="A140" t="str">
        <f>'Student Enrollment Data'!A142</f>
        <v>477</v>
      </c>
      <c r="B140">
        <f>'Student Enrollment Data'!B142</f>
        <v>477</v>
      </c>
      <c r="C140" t="str">
        <f>'Student Enrollment Data'!C142</f>
        <v>Blackfoot Charter Community Learning Center #477</v>
      </c>
      <c r="D140">
        <v>1</v>
      </c>
      <c r="E140" s="34">
        <f>IF(settings!$G$4=0,'Student Enrollment Data'!BA142,'Student Enrollment Data'!CN142)</f>
        <v>491</v>
      </c>
      <c r="F140" s="34">
        <f>IF(settings!$G$4=0,'Student Enrollment Data'!BB142,'Student Enrollment Data'!CO142)</f>
        <v>100</v>
      </c>
      <c r="G140" s="39">
        <f t="shared" si="2"/>
        <v>591</v>
      </c>
      <c r="H140">
        <f>IF(G140&lt;20000,0,IF(G140&gt;19999,settings!$Q$3,('Large District Weight'!G140*settings!$P$6)+settings!P145))</f>
        <v>0</v>
      </c>
    </row>
    <row r="141" spans="1:8">
      <c r="A141" t="str">
        <f>'Student Enrollment Data'!A143</f>
        <v>478</v>
      </c>
      <c r="B141">
        <f>'Student Enrollment Data'!B143</f>
        <v>478</v>
      </c>
      <c r="C141" t="str">
        <f>'Student Enrollment Data'!C143</f>
        <v>Legacy Charter School #478</v>
      </c>
      <c r="D141">
        <v>1</v>
      </c>
      <c r="E141" s="34">
        <f>IF(settings!$G$4=0,'Student Enrollment Data'!BA143,'Student Enrollment Data'!CN143)</f>
        <v>214</v>
      </c>
      <c r="F141" s="34">
        <f>IF(settings!$G$4=0,'Student Enrollment Data'!BB143,'Student Enrollment Data'!CO143)</f>
        <v>73</v>
      </c>
      <c r="G141" s="39">
        <f t="shared" si="2"/>
        <v>287</v>
      </c>
      <c r="H141">
        <f>IF(G141&lt;20000,0,IF(G141&gt;19999,settings!$Q$3,('Large District Weight'!G141*settings!$P$6)+settings!P146))</f>
        <v>0</v>
      </c>
    </row>
    <row r="142" spans="1:8">
      <c r="A142" t="str">
        <f>'Student Enrollment Data'!A144</f>
        <v>479</v>
      </c>
      <c r="B142">
        <f>'Student Enrollment Data'!B144</f>
        <v>479</v>
      </c>
      <c r="C142" t="str">
        <f>'Student Enrollment Data'!C144</f>
        <v>Heritage Academy #479</v>
      </c>
      <c r="D142">
        <v>1</v>
      </c>
      <c r="E142" s="34">
        <f>IF(settings!$G$4=0,'Student Enrollment Data'!BA144,'Student Enrollment Data'!CN144)</f>
        <v>111</v>
      </c>
      <c r="F142" s="34">
        <f>IF(settings!$G$4=0,'Student Enrollment Data'!BB144,'Student Enrollment Data'!CO144)</f>
        <v>50</v>
      </c>
      <c r="G142" s="39">
        <f t="shared" si="2"/>
        <v>161</v>
      </c>
      <c r="H142">
        <f>IF(G142&lt;20000,0,IF(G142&gt;19999,settings!$Q$3,('Large District Weight'!G142*settings!$P$6)+settings!P147))</f>
        <v>0</v>
      </c>
    </row>
    <row r="143" spans="1:8">
      <c r="A143" t="str">
        <f>'Student Enrollment Data'!A145</f>
        <v>480</v>
      </c>
      <c r="B143">
        <f>'Student Enrollment Data'!B145</f>
        <v>480</v>
      </c>
      <c r="C143" t="str">
        <f>'Student Enrollment Data'!C145</f>
        <v>STEM Charter Academy #480</v>
      </c>
      <c r="D143">
        <v>1</v>
      </c>
      <c r="E143" s="34">
        <f>IF(settings!$G$4=0,'Student Enrollment Data'!BA145,'Student Enrollment Data'!CN145)</f>
        <v>359.5</v>
      </c>
      <c r="F143" s="34">
        <f>IF(settings!$G$4=0,'Student Enrollment Data'!BB145,'Student Enrollment Data'!CO145)</f>
        <v>145</v>
      </c>
      <c r="G143" s="39">
        <f t="shared" si="2"/>
        <v>504.5</v>
      </c>
      <c r="H143">
        <f>IF(G143&lt;20000,0,IF(G143&gt;19999,settings!$Q$3,('Large District Weight'!G143*settings!$P$6)+settings!P148))</f>
        <v>0</v>
      </c>
    </row>
    <row r="144" spans="1:8">
      <c r="A144" t="str">
        <f>'Student Enrollment Data'!A146</f>
        <v>481</v>
      </c>
      <c r="B144">
        <f>'Student Enrollment Data'!B146</f>
        <v>481</v>
      </c>
      <c r="C144" t="str">
        <f>'Student Enrollment Data'!C146</f>
        <v>Heritage Community Charter School #481</v>
      </c>
      <c r="D144">
        <v>1</v>
      </c>
      <c r="E144" s="34">
        <f>IF(settings!$G$4=0,'Student Enrollment Data'!BA146,'Student Enrollment Data'!CN146)</f>
        <v>372</v>
      </c>
      <c r="F144" s="34">
        <f>IF(settings!$G$4=0,'Student Enrollment Data'!BB146,'Student Enrollment Data'!CO146)</f>
        <v>91</v>
      </c>
      <c r="G144" s="39">
        <f t="shared" si="2"/>
        <v>463</v>
      </c>
      <c r="H144">
        <f>IF(G144&lt;20000,0,IF(G144&gt;19999,settings!$Q$3,('Large District Weight'!G144*settings!$P$6)+settings!P149))</f>
        <v>0</v>
      </c>
    </row>
    <row r="145" spans="1:8">
      <c r="A145" t="str">
        <f>'Student Enrollment Data'!A147</f>
        <v>482</v>
      </c>
      <c r="B145">
        <f>'Student Enrollment Data'!B147</f>
        <v>482</v>
      </c>
      <c r="C145" t="str">
        <f>'Student Enrollment Data'!C147</f>
        <v>American Heritage Charter School #482</v>
      </c>
      <c r="D145">
        <v>1</v>
      </c>
      <c r="E145" s="34">
        <f>IF(settings!$G$4=0,'Student Enrollment Data'!BA147,'Student Enrollment Data'!CN147)</f>
        <v>225.5</v>
      </c>
      <c r="F145" s="34">
        <f>IF(settings!$G$4=0,'Student Enrollment Data'!BB147,'Student Enrollment Data'!CO147)</f>
        <v>114</v>
      </c>
      <c r="G145" s="39">
        <f t="shared" si="2"/>
        <v>339.5</v>
      </c>
      <c r="H145">
        <f>IF(G145&lt;20000,0,IF(G145&gt;19999,settings!$Q$3,('Large District Weight'!G145*settings!$P$6)+settings!P150))</f>
        <v>0</v>
      </c>
    </row>
    <row r="146" spans="1:8">
      <c r="A146" t="str">
        <f>'Student Enrollment Data'!A148</f>
        <v>483</v>
      </c>
      <c r="B146">
        <f>'Student Enrollment Data'!B148</f>
        <v>483</v>
      </c>
      <c r="C146" t="str">
        <f>'Student Enrollment Data'!C148</f>
        <v>Chief Tahgee Elementary Academy #483</v>
      </c>
      <c r="D146">
        <v>1</v>
      </c>
      <c r="E146" s="34">
        <f>IF(settings!$G$4=0,'Student Enrollment Data'!BA148,'Student Enrollment Data'!CN148)</f>
        <v>74.5</v>
      </c>
      <c r="F146" s="34">
        <f>IF(settings!$G$4=0,'Student Enrollment Data'!BB148,'Student Enrollment Data'!CO148)</f>
        <v>3</v>
      </c>
      <c r="G146" s="39">
        <f t="shared" si="2"/>
        <v>77.5</v>
      </c>
      <c r="H146">
        <f>IF(G146&lt;20000,0,IF(G146&gt;19999,settings!$Q$3,('Large District Weight'!G146*settings!$P$6)+settings!P151))</f>
        <v>0</v>
      </c>
    </row>
    <row r="147" spans="1:8">
      <c r="A147" t="str">
        <f>'Student Enrollment Data'!A149</f>
        <v>485</v>
      </c>
      <c r="B147">
        <f>'Student Enrollment Data'!B149</f>
        <v>485</v>
      </c>
      <c r="C147" t="str">
        <f>'Student Enrollment Data'!C149</f>
        <v>Bingham Academy #485</v>
      </c>
      <c r="D147">
        <v>1</v>
      </c>
      <c r="E147" s="34">
        <f>IF(settings!$G$4=0,'Student Enrollment Data'!BA149,'Student Enrollment Data'!CN149)</f>
        <v>0</v>
      </c>
      <c r="F147" s="34">
        <f>IF(settings!$G$4=0,'Student Enrollment Data'!BB149,'Student Enrollment Data'!CO149)</f>
        <v>118</v>
      </c>
      <c r="G147" s="39">
        <f t="shared" si="2"/>
        <v>118</v>
      </c>
      <c r="H147">
        <f>IF(G147&lt;20000,0,IF(G147&gt;19999,settings!$Q$3,('Large District Weight'!G147*settings!$P$6)+settings!P152))</f>
        <v>0</v>
      </c>
    </row>
    <row r="148" spans="1:8">
      <c r="A148" t="str">
        <f>'Student Enrollment Data'!A150</f>
        <v>486</v>
      </c>
      <c r="B148">
        <f>'Student Enrollment Data'!B150</f>
        <v>486</v>
      </c>
      <c r="C148" t="str">
        <f>'Student Enrollment Data'!C150</f>
        <v>Upper Carmen Charter School #486</v>
      </c>
      <c r="D148">
        <v>1</v>
      </c>
      <c r="E148" s="34">
        <f>IF(settings!$G$4=0,'Student Enrollment Data'!BA150,'Student Enrollment Data'!CN150)</f>
        <v>76.5</v>
      </c>
      <c r="F148" s="34">
        <f>IF(settings!$G$4=0,'Student Enrollment Data'!BB150,'Student Enrollment Data'!CO150)</f>
        <v>18</v>
      </c>
      <c r="G148" s="39">
        <f t="shared" si="2"/>
        <v>94.5</v>
      </c>
      <c r="H148">
        <f>IF(G148&lt;20000,0,IF(G148&gt;19999,settings!$Q$3,('Large District Weight'!G148*settings!$P$6)+settings!P153))</f>
        <v>0</v>
      </c>
    </row>
    <row r="149" spans="1:8">
      <c r="A149" t="str">
        <f>'Student Enrollment Data'!A151</f>
        <v>487</v>
      </c>
      <c r="B149">
        <f>'Student Enrollment Data'!B151</f>
        <v>487</v>
      </c>
      <c r="C149" t="str">
        <f>'Student Enrollment Data'!C151</f>
        <v>Forrest M. Bird Charter School #487</v>
      </c>
      <c r="D149">
        <v>1</v>
      </c>
      <c r="E149" s="34">
        <f>IF(settings!$G$4=0,'Student Enrollment Data'!BA151,'Student Enrollment Data'!CN151)</f>
        <v>37</v>
      </c>
      <c r="F149" s="34">
        <f>IF(settings!$G$4=0,'Student Enrollment Data'!BB151,'Student Enrollment Data'!CO151)</f>
        <v>281</v>
      </c>
      <c r="G149" s="39">
        <f t="shared" si="2"/>
        <v>318</v>
      </c>
      <c r="H149">
        <f>IF(G149&lt;20000,0,IF(G149&gt;19999,settings!$Q$3,('Large District Weight'!G149*settings!$P$6)+settings!P154))</f>
        <v>0</v>
      </c>
    </row>
    <row r="150" spans="1:8">
      <c r="A150" t="str">
        <f>'Student Enrollment Data'!A152</f>
        <v>488</v>
      </c>
      <c r="B150">
        <f>'Student Enrollment Data'!B152</f>
        <v>488</v>
      </c>
      <c r="C150" t="str">
        <f>'Student Enrollment Data'!C152</f>
        <v>Syringa Mountain School #488</v>
      </c>
      <c r="D150">
        <v>1</v>
      </c>
      <c r="E150" s="34">
        <f>IF(settings!$G$4=0,'Student Enrollment Data'!BA152,'Student Enrollment Data'!CN152)</f>
        <v>96.5</v>
      </c>
      <c r="F150" s="34">
        <f>IF(settings!$G$4=0,'Student Enrollment Data'!BB152,'Student Enrollment Data'!CO152)</f>
        <v>7</v>
      </c>
      <c r="G150" s="39">
        <f t="shared" si="2"/>
        <v>103.5</v>
      </c>
      <c r="H150">
        <f>IF(G150&lt;20000,0,IF(G150&gt;19999,settings!$Q$3,('Large District Weight'!G150*settings!$P$6)+settings!P155))</f>
        <v>0</v>
      </c>
    </row>
    <row r="151" spans="1:8">
      <c r="A151" t="str">
        <f>'Student Enrollment Data'!A153</f>
        <v>489</v>
      </c>
      <c r="B151">
        <f>'Student Enrollment Data'!B153</f>
        <v>489</v>
      </c>
      <c r="C151" t="str">
        <f>'Student Enrollment Data'!C153</f>
        <v>Idaho Technical Career Academy #489</v>
      </c>
      <c r="D151">
        <v>1</v>
      </c>
      <c r="E151" s="34">
        <f>IF(settings!$G$4=0,'Student Enrollment Data'!BA153,'Student Enrollment Data'!CN153)</f>
        <v>0</v>
      </c>
      <c r="F151" s="34">
        <f>IF(settings!$G$4=0,'Student Enrollment Data'!BB153,'Student Enrollment Data'!CO153)</f>
        <v>136</v>
      </c>
      <c r="G151" s="39">
        <f t="shared" si="2"/>
        <v>136</v>
      </c>
      <c r="H151">
        <f>IF(G151&lt;20000,0,IF(G151&gt;19999,settings!$Q$3,('Large District Weight'!G151*settings!$P$6)+settings!P156))</f>
        <v>0</v>
      </c>
    </row>
    <row r="152" spans="1:8">
      <c r="A152" t="str">
        <f>'Student Enrollment Data'!A154</f>
        <v>490</v>
      </c>
      <c r="B152">
        <f>'Student Enrollment Data'!B154</f>
        <v>490</v>
      </c>
      <c r="C152" t="str">
        <f>'Student Enrollment Data'!C154</f>
        <v>Idaho Distance Education Academy #490</v>
      </c>
      <c r="D152">
        <v>1</v>
      </c>
      <c r="E152" s="34">
        <f>IF(settings!$G$4=0,'Student Enrollment Data'!BA154,'Student Enrollment Data'!CN154)</f>
        <v>119</v>
      </c>
      <c r="F152" s="34">
        <f>IF(settings!$G$4=0,'Student Enrollment Data'!BB154,'Student Enrollment Data'!CO154)</f>
        <v>332</v>
      </c>
      <c r="G152" s="39">
        <f t="shared" si="2"/>
        <v>451</v>
      </c>
      <c r="H152">
        <f>IF(G152&lt;20000,0,IF(G152&gt;19999,settings!$Q$3,('Large District Weight'!G152*settings!$P$6)+settings!P157))</f>
        <v>0</v>
      </c>
    </row>
    <row r="153" spans="1:8">
      <c r="A153" t="str">
        <f>'Student Enrollment Data'!A155</f>
        <v>491</v>
      </c>
      <c r="B153">
        <f>'Student Enrollment Data'!B155</f>
        <v>491</v>
      </c>
      <c r="C153" t="str">
        <f>'Student Enrollment Data'!C155</f>
        <v>Coeur d' Alene Charter Academy #491</v>
      </c>
      <c r="D153">
        <v>1</v>
      </c>
      <c r="E153" s="34">
        <f>IF(settings!$G$4=0,'Student Enrollment Data'!BA155,'Student Enrollment Data'!CN155)</f>
        <v>141</v>
      </c>
      <c r="F153" s="34">
        <f>IF(settings!$G$4=0,'Student Enrollment Data'!BB155,'Student Enrollment Data'!CO155)</f>
        <v>546</v>
      </c>
      <c r="G153" s="39">
        <f t="shared" si="2"/>
        <v>687</v>
      </c>
      <c r="H153">
        <f>IF(G153&lt;20000,0,IF(G153&gt;19999,settings!$Q$3,('Large District Weight'!G153*settings!$P$6)+settings!P158))</f>
        <v>0</v>
      </c>
    </row>
    <row r="154" spans="1:8">
      <c r="A154" t="str">
        <f>'Student Enrollment Data'!A156</f>
        <v>492</v>
      </c>
      <c r="B154">
        <f>'Student Enrollment Data'!B156</f>
        <v>492</v>
      </c>
      <c r="C154" t="str">
        <f>'Student Enrollment Data'!C156</f>
        <v>ANSER Charter School #492</v>
      </c>
      <c r="D154">
        <v>1</v>
      </c>
      <c r="E154" s="34">
        <f>IF(settings!$G$4=0,'Student Enrollment Data'!BA156,'Student Enrollment Data'!CN156)</f>
        <v>252</v>
      </c>
      <c r="F154" s="34">
        <f>IF(settings!$G$4=0,'Student Enrollment Data'!BB156,'Student Enrollment Data'!CO156)</f>
        <v>102</v>
      </c>
      <c r="G154" s="39">
        <f t="shared" si="2"/>
        <v>354</v>
      </c>
      <c r="H154">
        <f>IF(G154&lt;20000,0,IF(G154&gt;19999,settings!$Q$3,('Large District Weight'!G154*settings!$P$6)+settings!P159))</f>
        <v>0</v>
      </c>
    </row>
    <row r="155" spans="1:8">
      <c r="A155" t="str">
        <f>'Student Enrollment Data'!A157</f>
        <v>493</v>
      </c>
      <c r="B155">
        <f>'Student Enrollment Data'!B157</f>
        <v>493</v>
      </c>
      <c r="C155" t="str">
        <f>'Student Enrollment Data'!C157</f>
        <v>North Star Charter School #493</v>
      </c>
      <c r="D155">
        <v>1</v>
      </c>
      <c r="E155" s="34">
        <f>IF(settings!$G$4=0,'Student Enrollment Data'!BA157,'Student Enrollment Data'!CN157)</f>
        <v>591</v>
      </c>
      <c r="F155" s="34">
        <f>IF(settings!$G$4=0,'Student Enrollment Data'!BB157,'Student Enrollment Data'!CO157)</f>
        <v>342</v>
      </c>
      <c r="G155" s="39">
        <f t="shared" si="2"/>
        <v>933</v>
      </c>
      <c r="H155">
        <f>IF(G155&lt;20000,0,IF(G155&gt;19999,settings!$Q$3,('Large District Weight'!G155*settings!$P$6)+settings!P160))</f>
        <v>0</v>
      </c>
    </row>
    <row r="156" spans="1:8">
      <c r="A156" t="str">
        <f>'Student Enrollment Data'!A158</f>
        <v>494</v>
      </c>
      <c r="B156">
        <f>'Student Enrollment Data'!B158</f>
        <v>494</v>
      </c>
      <c r="C156" t="str">
        <f>'Student Enrollment Data'!C158</f>
        <v>Pocatello Community Charter School #494</v>
      </c>
      <c r="D156">
        <v>1</v>
      </c>
      <c r="E156" s="34">
        <f>IF(settings!$G$4=0,'Student Enrollment Data'!BA158,'Student Enrollment Data'!CN158)</f>
        <v>244</v>
      </c>
      <c r="F156" s="34">
        <f>IF(settings!$G$4=0,'Student Enrollment Data'!BB158,'Student Enrollment Data'!CO158)</f>
        <v>83</v>
      </c>
      <c r="G156" s="39">
        <f t="shared" si="2"/>
        <v>327</v>
      </c>
      <c r="H156">
        <f>IF(G156&lt;20000,0,IF(G156&gt;19999,settings!$Q$3,('Large District Weight'!G156*settings!$P$6)+settings!P161))</f>
        <v>0</v>
      </c>
    </row>
    <row r="157" spans="1:8">
      <c r="A157" t="str">
        <f>'Student Enrollment Data'!A159</f>
        <v>495</v>
      </c>
      <c r="B157">
        <f>'Student Enrollment Data'!B159</f>
        <v>495</v>
      </c>
      <c r="C157" t="str">
        <f>'Student Enrollment Data'!C159</f>
        <v>Alturas International Academy #495</v>
      </c>
      <c r="D157">
        <v>1</v>
      </c>
      <c r="E157" s="34">
        <f>IF(settings!$G$4=0,'Student Enrollment Data'!BA159,'Student Enrollment Data'!CN159)</f>
        <v>334</v>
      </c>
      <c r="F157" s="34">
        <f>IF(settings!$G$4=0,'Student Enrollment Data'!BB159,'Student Enrollment Data'!CO159)</f>
        <v>100</v>
      </c>
      <c r="G157" s="39">
        <f t="shared" si="2"/>
        <v>434</v>
      </c>
      <c r="H157">
        <f>IF(G157&lt;20000,0,IF(G157&gt;19999,settings!$Q$3,('Large District Weight'!G157*settings!$P$6)+settings!P162))</f>
        <v>0</v>
      </c>
    </row>
    <row r="158" spans="1:8">
      <c r="A158" t="str">
        <f>'Student Enrollment Data'!A160</f>
        <v>496</v>
      </c>
      <c r="B158">
        <f>'Student Enrollment Data'!B160</f>
        <v>496</v>
      </c>
      <c r="C158" t="str">
        <f>'Student Enrollment Data'!C160</f>
        <v>Gem Prep: Pocatello #496</v>
      </c>
      <c r="D158">
        <v>1</v>
      </c>
      <c r="E158" s="34">
        <f>IF(settings!$G$4=0,'Student Enrollment Data'!BA160,'Student Enrollment Data'!CN160)</f>
        <v>172</v>
      </c>
      <c r="F158" s="34">
        <f>IF(settings!$G$4=0,'Student Enrollment Data'!BB160,'Student Enrollment Data'!CO160)</f>
        <v>0</v>
      </c>
      <c r="G158" s="39">
        <f t="shared" si="2"/>
        <v>172</v>
      </c>
      <c r="H158">
        <f>IF(G158&lt;20000,0,IF(G158&gt;19999,settings!$Q$3,('Large District Weight'!G158*settings!$P$6)+settings!P163))</f>
        <v>0</v>
      </c>
    </row>
    <row r="159" spans="1:8">
      <c r="A159" t="str">
        <f>'Student Enrollment Data'!A161</f>
        <v>497</v>
      </c>
      <c r="B159">
        <f>'Student Enrollment Data'!B161</f>
        <v>497</v>
      </c>
      <c r="C159" t="str">
        <f>'Student Enrollment Data'!C161</f>
        <v>Pathways in Education - Nampa #497</v>
      </c>
      <c r="D159">
        <v>1</v>
      </c>
      <c r="E159" s="34">
        <f>IF(settings!$G$4=0,'Student Enrollment Data'!BA161,'Student Enrollment Data'!CN161)</f>
        <v>0</v>
      </c>
      <c r="F159" s="34">
        <f>IF(settings!$G$4=0,'Student Enrollment Data'!BB161,'Student Enrollment Data'!CO161)</f>
        <v>285</v>
      </c>
      <c r="G159" s="39">
        <f t="shared" si="2"/>
        <v>285</v>
      </c>
      <c r="H159">
        <f>IF(G159&lt;20000,0,IF(G159&gt;19999,settings!$Q$3,('Large District Weight'!G159*settings!$P$6)+settings!P164))</f>
        <v>0</v>
      </c>
    </row>
    <row r="160" spans="1:8">
      <c r="A160">
        <v>498</v>
      </c>
      <c r="B160">
        <v>498</v>
      </c>
      <c r="C160" t="s">
        <v>592</v>
      </c>
      <c r="D160">
        <v>1</v>
      </c>
      <c r="E160" s="34">
        <f>IF(settings!$G$4=0,'Student Enrollment Data'!BA162,'Student Enrollment Data'!CN162)</f>
        <v>245</v>
      </c>
      <c r="F160" s="34">
        <f>IF(settings!$G$4=0,'Student Enrollment Data'!BB162,'Student Enrollment Data'!CO162)</f>
        <v>0</v>
      </c>
      <c r="G160" s="39">
        <f t="shared" ref="G160:G164" si="3">E160+F160</f>
        <v>245</v>
      </c>
      <c r="H160">
        <f>IF(G160&lt;20000,0,IF(G160&gt;19999,settings!$Q$3,('Large District Weight'!G160*settings!$P$6)+settings!P165))</f>
        <v>0</v>
      </c>
    </row>
    <row r="161" spans="1:8">
      <c r="A161">
        <v>499</v>
      </c>
      <c r="B161">
        <v>499</v>
      </c>
      <c r="C161" t="s">
        <v>593</v>
      </c>
      <c r="D161">
        <v>1</v>
      </c>
      <c r="E161" s="34">
        <f>IF(settings!$G$4=0,'Student Enrollment Data'!BA163,'Student Enrollment Data'!CN163)</f>
        <v>197</v>
      </c>
      <c r="F161" s="34">
        <f>IF(settings!$G$4=0,'Student Enrollment Data'!BB163,'Student Enrollment Data'!CO163)</f>
        <v>0</v>
      </c>
      <c r="G161" s="39">
        <f t="shared" si="3"/>
        <v>197</v>
      </c>
      <c r="H161">
        <f>IF(G161&lt;20000,0,IF(G161&gt;19999,settings!$Q$3,('Large District Weight'!G161*settings!$P$6)+settings!P166))</f>
        <v>0</v>
      </c>
    </row>
    <row r="162" spans="1:8">
      <c r="A162">
        <v>511</v>
      </c>
      <c r="B162">
        <v>511</v>
      </c>
      <c r="C162" t="s">
        <v>594</v>
      </c>
      <c r="D162">
        <v>1</v>
      </c>
      <c r="E162" s="34">
        <f>IF(settings!$G$4=0,'Student Enrollment Data'!BA164,'Student Enrollment Data'!CN164)</f>
        <v>248.5</v>
      </c>
      <c r="F162" s="34">
        <f>IF(settings!$G$4=0,'Student Enrollment Data'!BB164,'Student Enrollment Data'!CO164)</f>
        <v>0</v>
      </c>
      <c r="G162" s="39">
        <f t="shared" si="3"/>
        <v>248.5</v>
      </c>
      <c r="H162">
        <f>IF(G162&lt;20000,0,IF(G162&gt;19999,settings!$Q$3,('Large District Weight'!G162*settings!$P$6)+settings!P167))</f>
        <v>0</v>
      </c>
    </row>
    <row r="163" spans="1:8">
      <c r="A163">
        <v>513</v>
      </c>
      <c r="B163">
        <v>513</v>
      </c>
      <c r="C163" t="s">
        <v>595</v>
      </c>
      <c r="D163">
        <v>1</v>
      </c>
      <c r="E163" s="34">
        <f>IF(settings!$G$4=0,'Student Enrollment Data'!BA165,'Student Enrollment Data'!CN165)</f>
        <v>190.5</v>
      </c>
      <c r="F163" s="34">
        <f>IF(settings!$G$4=0,'Student Enrollment Data'!BB165,'Student Enrollment Data'!CO165)</f>
        <v>51</v>
      </c>
      <c r="G163" s="39">
        <f t="shared" si="3"/>
        <v>241.5</v>
      </c>
      <c r="H163">
        <f>IF(G163&lt;20000,0,IF(G163&gt;19999,settings!$Q$3,('Large District Weight'!G163*settings!$P$6)+settings!P168))</f>
        <v>0</v>
      </c>
    </row>
    <row r="164" spans="1:8">
      <c r="A164">
        <v>518</v>
      </c>
      <c r="B164">
        <v>518</v>
      </c>
      <c r="C164" t="s">
        <v>596</v>
      </c>
      <c r="D164">
        <v>1</v>
      </c>
      <c r="E164" s="34">
        <f>IF(settings!$G$4=0,'Student Enrollment Data'!BA166,'Student Enrollment Data'!CN166)</f>
        <v>0</v>
      </c>
      <c r="F164" s="34">
        <f>IF(settings!$G$4=0,'Student Enrollment Data'!BB166,'Student Enrollment Data'!CO166)</f>
        <v>202</v>
      </c>
      <c r="G164" s="39">
        <f t="shared" si="3"/>
        <v>202</v>
      </c>
      <c r="H164">
        <f>IF(G164&lt;20000,0,IF(G164&gt;19999,settings!$Q$3,('Large District Weight'!G164*settings!$P$6)+settings!P169))</f>
        <v>0</v>
      </c>
    </row>
    <row r="165" spans="1:8">
      <c r="A165" t="str">
        <f>'Student Enrollment Data'!A167</f>
        <v>555</v>
      </c>
      <c r="B165">
        <f>'Student Enrollment Data'!B167</f>
        <v>555</v>
      </c>
      <c r="C165" t="str">
        <f>'Student Enrollment Data'!C167</f>
        <v>COSSA Academy #555</v>
      </c>
      <c r="D165">
        <v>1</v>
      </c>
      <c r="E165" s="34">
        <f>IF(settings!$G$4=0,'Student Enrollment Data'!BA167,'Student Enrollment Data'!CN167)</f>
        <v>0</v>
      </c>
      <c r="F165" s="34">
        <f>IF(settings!$G$4=0,'Student Enrollment Data'!BB167,'Student Enrollment Data'!CO167)</f>
        <v>134.89950980392157</v>
      </c>
      <c r="G165" s="39">
        <f t="shared" si="2"/>
        <v>134.89950980392157</v>
      </c>
      <c r="H165">
        <f>IF(G165&lt;20000,0,IF(G165&gt;19999,settings!$Q$3,('Large District Weight'!G165*settings!$P$6)+settings!P165))</f>
        <v>0</v>
      </c>
    </row>
    <row r="166" spans="1:8">
      <c r="A166" t="str">
        <f>'Student Enrollment Data'!A168</f>
        <v>559</v>
      </c>
      <c r="B166">
        <f>'Student Enrollment Data'!B168</f>
        <v>559</v>
      </c>
      <c r="C166" t="str">
        <f>'Student Enrollment Data'!C168</f>
        <v>Thomas Jefferson Charter School #559</v>
      </c>
      <c r="D166">
        <v>1</v>
      </c>
      <c r="E166" s="34">
        <f>IF(settings!$G$4=0,'Student Enrollment Data'!BA168,'Student Enrollment Data'!CN168)</f>
        <v>193</v>
      </c>
      <c r="F166" s="34">
        <f>IF(settings!$G$4=0,'Student Enrollment Data'!BB168,'Student Enrollment Data'!CO168)</f>
        <v>177</v>
      </c>
      <c r="G166" s="39">
        <f t="shared" si="2"/>
        <v>370</v>
      </c>
      <c r="H166">
        <f>IF(G166&lt;20000,0,IF(G166&gt;19999,settings!$Q$3,('Large District Weight'!G166*settings!$P$6)+settings!P166))</f>
        <v>0</v>
      </c>
    </row>
    <row r="167" spans="1:8">
      <c r="A167" t="str">
        <f>'Student Enrollment Data'!A169</f>
        <v>751</v>
      </c>
      <c r="B167">
        <f>'Student Enrollment Data'!B169</f>
        <v>751</v>
      </c>
      <c r="C167" t="str">
        <f>'Student Enrollment Data'!C169</f>
        <v>SEI Tec #751</v>
      </c>
      <c r="D167">
        <v>1</v>
      </c>
      <c r="E167" s="34">
        <f>IF(settings!$G$4=0,'Student Enrollment Data'!BA169,'Student Enrollment Data'!CN169)</f>
        <v>0</v>
      </c>
      <c r="F167" s="34">
        <f>IF(settings!$G$4=0,'Student Enrollment Data'!BB169,'Student Enrollment Data'!CO169)</f>
        <v>199</v>
      </c>
      <c r="G167" s="39">
        <f t="shared" si="2"/>
        <v>199</v>
      </c>
      <c r="H167">
        <f>IF(G167&lt;20000,0,IF(G167&gt;19999,settings!$Q$3,('Large District Weight'!G167*settings!$P$6)+settings!P167))</f>
        <v>0</v>
      </c>
    </row>
    <row r="168" spans="1:8">
      <c r="A168" t="str">
        <f>'Student Enrollment Data'!A170</f>
        <v>768</v>
      </c>
      <c r="B168">
        <f>'Student Enrollment Data'!B170</f>
        <v>768</v>
      </c>
      <c r="C168" t="str">
        <f>'Student Enrollment Data'!C170</f>
        <v>Meridian Technical Charter High School #768</v>
      </c>
      <c r="D168">
        <v>1</v>
      </c>
      <c r="E168" s="34">
        <f>IF(settings!$G$4=0,'Student Enrollment Data'!BA170,'Student Enrollment Data'!CN170)</f>
        <v>0</v>
      </c>
      <c r="F168" s="34">
        <f>IF(settings!$G$4=0,'Student Enrollment Data'!BB170,'Student Enrollment Data'!CO170)</f>
        <v>200</v>
      </c>
      <c r="G168" s="39">
        <f t="shared" si="2"/>
        <v>200</v>
      </c>
      <c r="H168">
        <f>IF(G168&lt;20000,0,IF(G168&gt;19999,settings!$Q$3,('Large District Weight'!G168*settings!$P$6)+settings!P168))</f>
        <v>0</v>
      </c>
    </row>
    <row r="169" spans="1:8">
      <c r="A169" t="str">
        <f>'Student Enrollment Data'!A171</f>
        <v>785</v>
      </c>
      <c r="B169">
        <f>'Student Enrollment Data'!B171</f>
        <v>785</v>
      </c>
      <c r="C169" t="str">
        <f>'Student Enrollment Data'!C171</f>
        <v>Meridian Medical Arts Charter High School #785</v>
      </c>
      <c r="D169">
        <v>1</v>
      </c>
      <c r="E169" s="34">
        <f>IF(settings!$G$4=0,'Student Enrollment Data'!BA171,'Student Enrollment Data'!CN171)</f>
        <v>0</v>
      </c>
      <c r="F169" s="34">
        <f>IF(settings!$G$4=0,'Student Enrollment Data'!BB171,'Student Enrollment Data'!CO171)</f>
        <v>194</v>
      </c>
      <c r="G169" s="39">
        <f t="shared" si="2"/>
        <v>194</v>
      </c>
      <c r="H169">
        <f>IF(G169&lt;20000,0,IF(G169&gt;19999,settings!$Q$3,('Large District Weight'!G169*settings!$P$6)+settings!P169))</f>
        <v>0</v>
      </c>
    </row>
    <row r="170" spans="1:8">
      <c r="A170" t="str">
        <f>'Student Enrollment Data'!A172</f>
        <v>790</v>
      </c>
      <c r="B170">
        <f>'Student Enrollment Data'!B172</f>
        <v>790</v>
      </c>
      <c r="C170" t="str">
        <f>'Student Enrollment Data'!C172</f>
        <v>ARTEC Charter School #790</v>
      </c>
      <c r="D170">
        <v>1</v>
      </c>
      <c r="E170" s="34">
        <f>IF(settings!$G$4=0,'Student Enrollment Data'!BA172,'Student Enrollment Data'!CN172)</f>
        <v>0</v>
      </c>
      <c r="F170" s="34">
        <f>IF(settings!$G$4=0,'Student Enrollment Data'!BB172,'Student Enrollment Data'!CO172)</f>
        <v>200</v>
      </c>
      <c r="G170" s="39">
        <f t="shared" si="2"/>
        <v>200</v>
      </c>
      <c r="H170">
        <f>IF(G170&lt;20000,0,IF(G170&gt;19999,settings!$Q$3,('Large District Weight'!G170*settings!$P$6)+settings!P170))</f>
        <v>0</v>
      </c>
    </row>
    <row r="171" spans="1:8">
      <c r="A171" t="str">
        <f>'Student Enrollment Data'!A173</f>
        <v>794</v>
      </c>
      <c r="B171">
        <f>'Student Enrollment Data'!B173</f>
        <v>794</v>
      </c>
      <c r="C171" t="str">
        <f>'Student Enrollment Data'!C173</f>
        <v>Payette River Technical Academy #794</v>
      </c>
      <c r="D171">
        <v>1</v>
      </c>
      <c r="E171" s="34">
        <f>IF(settings!$G$4=0,'Student Enrollment Data'!BA173,'Student Enrollment Data'!CN173)</f>
        <v>0</v>
      </c>
      <c r="F171" s="34">
        <f>IF(settings!$G$4=0,'Student Enrollment Data'!BB173,'Student Enrollment Data'!CO173)</f>
        <v>195</v>
      </c>
      <c r="G171" s="39">
        <f t="shared" si="2"/>
        <v>195</v>
      </c>
      <c r="H171">
        <f>IF(G171&lt;20000,0,IF(G171&gt;19999,settings!$Q$3,('Large District Weight'!G171*settings!$P$6)+settings!P171))</f>
        <v>0</v>
      </c>
    </row>
    <row r="172" spans="1:8">
      <c r="A172" t="str">
        <f>'Student Enrollment Data'!A174</f>
        <v>795</v>
      </c>
      <c r="B172">
        <f>'Student Enrollment Data'!B174</f>
        <v>795</v>
      </c>
      <c r="C172" t="str">
        <f>'Student Enrollment Data'!C174</f>
        <v>Idaho Arts Charter School #795</v>
      </c>
      <c r="D172">
        <v>1</v>
      </c>
      <c r="E172" s="34">
        <f>IF(settings!$G$4=0,'Student Enrollment Data'!BA174,'Student Enrollment Data'!CN174)</f>
        <v>778</v>
      </c>
      <c r="F172" s="34">
        <f>IF(settings!$G$4=0,'Student Enrollment Data'!BB174,'Student Enrollment Data'!CO174)</f>
        <v>338</v>
      </c>
      <c r="G172" s="39">
        <f t="shared" si="2"/>
        <v>1116</v>
      </c>
      <c r="H172">
        <f>IF(G172&lt;20000,0,IF(G172&gt;19999,settings!$Q$3,('Large District Weight'!G172*settings!$P$6)+settings!P172))</f>
        <v>0</v>
      </c>
    </row>
    <row r="173" spans="1:8">
      <c r="A173" t="str">
        <f>'Student Enrollment Data'!A175</f>
        <v>796</v>
      </c>
      <c r="B173">
        <f>'Student Enrollment Data'!B175</f>
        <v>796</v>
      </c>
      <c r="C173" t="str">
        <f>'Student Enrollment Data'!C175</f>
        <v>Gem Prep: Nampa #796</v>
      </c>
      <c r="D173">
        <v>1</v>
      </c>
      <c r="E173" s="34">
        <f>IF(settings!$G$4=0,'Student Enrollment Data'!BA175,'Student Enrollment Data'!CN175)</f>
        <v>338.5</v>
      </c>
      <c r="F173" s="34">
        <f>IF(settings!$G$4=0,'Student Enrollment Data'!BB175,'Student Enrollment Data'!CO175)</f>
        <v>0</v>
      </c>
      <c r="G173" s="39">
        <f t="shared" si="2"/>
        <v>338.5</v>
      </c>
      <c r="H173">
        <f>IF(G173&lt;20000,0,IF(G173&gt;19999,settings!$Q$3,('Large District Weight'!G173*settings!$P$6)+settings!P173))</f>
        <v>0</v>
      </c>
    </row>
    <row r="174" spans="1:8">
      <c r="A174" t="str">
        <f>'Student Enrollment Data'!A176</f>
        <v>813</v>
      </c>
      <c r="B174">
        <f>'Student Enrollment Data'!B176</f>
        <v>813</v>
      </c>
      <c r="C174" t="str">
        <f>'Student Enrollment Data'!C176</f>
        <v>Moscow Charter School #813</v>
      </c>
      <c r="D174">
        <v>1</v>
      </c>
      <c r="E174" s="34">
        <f>IF(settings!$G$4=0,'Student Enrollment Data'!BA176,'Student Enrollment Data'!CN176)</f>
        <v>131</v>
      </c>
      <c r="F174" s="34">
        <f>IF(settings!$G$4=0,'Student Enrollment Data'!BB176,'Student Enrollment Data'!CO176)</f>
        <v>34</v>
      </c>
      <c r="G174" s="39">
        <f t="shared" si="2"/>
        <v>165</v>
      </c>
      <c r="H174">
        <f>IF(G174&lt;20000,0,IF(G174&gt;19999,settings!$Q$3,('Large District Weight'!G174*settings!$P$6)+settings!P174))</f>
        <v>0</v>
      </c>
    </row>
    <row r="176" spans="1:8">
      <c r="E176" s="39">
        <f>SUM(E2:E175)</f>
        <v>151996.28159112515</v>
      </c>
      <c r="F176" s="39">
        <f>SUM(F2:F175)</f>
        <v>142532.58769563946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topLeftCell="F1" workbookViewId="0">
      <selection activeCell="N19" sqref="N19"/>
    </sheetView>
  </sheetViews>
  <sheetFormatPr defaultColWidth="8.85546875" defaultRowHeight="15"/>
  <cols>
    <col min="3" max="3" width="26" bestFit="1" customWidth="1"/>
    <col min="4" max="4" width="14.85546875" bestFit="1" customWidth="1"/>
    <col min="5" max="5" width="16" customWidth="1"/>
    <col min="6" max="6" width="12.7109375" bestFit="1" customWidth="1"/>
    <col min="7" max="7" width="14.7109375" customWidth="1"/>
    <col min="8" max="8" width="14" style="27" customWidth="1"/>
    <col min="9" max="9" width="16.7109375" style="27" customWidth="1"/>
    <col min="10" max="10" width="22.140625" customWidth="1"/>
    <col min="11" max="11" width="12.140625" customWidth="1"/>
    <col min="14" max="14" width="47.140625" bestFit="1" customWidth="1"/>
    <col min="15" max="15" width="15.28515625" customWidth="1"/>
    <col min="17" max="18" width="17.7109375" customWidth="1"/>
  </cols>
  <sheetData>
    <row r="1" spans="1:26" ht="75">
      <c r="A1" s="116" t="s">
        <v>533</v>
      </c>
      <c r="B1" s="116"/>
      <c r="C1" s="117" t="s">
        <v>338</v>
      </c>
      <c r="D1" s="200" t="s">
        <v>599</v>
      </c>
      <c r="E1" s="201" t="s">
        <v>597</v>
      </c>
      <c r="F1" s="116" t="s">
        <v>598</v>
      </c>
      <c r="G1" s="266" t="s">
        <v>841</v>
      </c>
      <c r="H1" s="267" t="s">
        <v>842</v>
      </c>
      <c r="I1" s="268" t="s">
        <v>843</v>
      </c>
      <c r="J1" s="58" t="s">
        <v>560</v>
      </c>
      <c r="K1" s="58" t="s">
        <v>561</v>
      </c>
      <c r="L1" t="s">
        <v>562</v>
      </c>
      <c r="M1" t="s">
        <v>563</v>
      </c>
      <c r="N1" t="s">
        <v>564</v>
      </c>
      <c r="O1" s="58" t="s">
        <v>565</v>
      </c>
      <c r="P1" s="58"/>
      <c r="Q1" s="58" t="s">
        <v>566</v>
      </c>
      <c r="R1" s="58" t="s">
        <v>567</v>
      </c>
    </row>
    <row r="2" spans="1:26">
      <c r="A2" s="83">
        <v>1</v>
      </c>
      <c r="B2" s="121">
        <f>A2*1</f>
        <v>1</v>
      </c>
      <c r="C2" s="84" t="s">
        <v>423</v>
      </c>
      <c r="D2" s="85">
        <v>22700830133</v>
      </c>
      <c r="E2" s="119">
        <f>'Student Enrollment Data'!CK4</f>
        <v>24552.73053359133</v>
      </c>
      <c r="F2" s="82">
        <f t="shared" ref="F2:F65" si="0">SUM(D2/E2)</f>
        <v>924574.56419937941</v>
      </c>
      <c r="G2" s="118">
        <f t="shared" ref="G2:G33" si="1">SUM(F2/$F$118)</f>
        <v>1.6363893839678072</v>
      </c>
      <c r="H2" s="269">
        <v>1.3902346329958877</v>
      </c>
      <c r="I2" s="269">
        <f>MIN(G2,H2)</f>
        <v>1.3902346329958877</v>
      </c>
      <c r="J2">
        <f t="shared" ref="J2:J33" si="2">IF(G2&gt;1,0,G2-1)*-1</f>
        <v>0</v>
      </c>
      <c r="K2">
        <f>IF(J2&gt;'Front page'!$E$21,'Front page'!$E$21,J2)+1</f>
        <v>1</v>
      </c>
      <c r="L2" s="34">
        <f>SUM(K2)</f>
        <v>1</v>
      </c>
      <c r="M2">
        <v>1</v>
      </c>
      <c r="N2" t="s">
        <v>11</v>
      </c>
      <c r="O2">
        <f>SUM(K2)</f>
        <v>1</v>
      </c>
      <c r="Q2" s="65">
        <f>IF(J2=1,0,IF(J2&lt;0.1,0.1,J2*-1))</f>
        <v>0.1</v>
      </c>
      <c r="R2" s="65">
        <f>IF(Q2&gt;10%,10%,Q2)</f>
        <v>0.1</v>
      </c>
      <c r="T2" s="39"/>
    </row>
    <row r="3" spans="1:26">
      <c r="A3" s="83">
        <v>2</v>
      </c>
      <c r="B3" s="121">
        <f t="shared" ref="B3:B66" si="3">A3*1</f>
        <v>2</v>
      </c>
      <c r="C3" s="84" t="s">
        <v>424</v>
      </c>
      <c r="D3" s="85">
        <v>21501634945</v>
      </c>
      <c r="E3" s="119">
        <f>'Student Enrollment Data'!CK5</f>
        <v>37888.524509803923</v>
      </c>
      <c r="F3" s="82">
        <f t="shared" si="0"/>
        <v>567497.28903896222</v>
      </c>
      <c r="G3" s="118">
        <f t="shared" si="1"/>
        <v>1.0044041607590781</v>
      </c>
      <c r="H3" s="269">
        <v>1.0827447580703966</v>
      </c>
      <c r="I3" s="269">
        <f>MIN(G3,H3)</f>
        <v>1.0044041607590781</v>
      </c>
      <c r="J3">
        <f t="shared" si="2"/>
        <v>0</v>
      </c>
      <c r="K3">
        <f>IF(J3&gt;'Front page'!$E$21,'Front page'!$E$21,J3)+1</f>
        <v>1</v>
      </c>
      <c r="L3" s="34">
        <f t="shared" ref="L3:L66" si="4">SUM(K3)</f>
        <v>1</v>
      </c>
      <c r="M3">
        <v>2</v>
      </c>
      <c r="N3" t="s">
        <v>12</v>
      </c>
      <c r="O3">
        <f t="shared" ref="O3:O66" si="5">SUM(K3)</f>
        <v>1</v>
      </c>
      <c r="Q3" s="65">
        <f>IF(J3=1,0,IF(J3&gt;0.01,0.1,J3*-1))</f>
        <v>0</v>
      </c>
      <c r="R3" s="65">
        <f>IF(Q3&gt;10%,10%,Q3)</f>
        <v>0</v>
      </c>
      <c r="T3" s="157"/>
    </row>
    <row r="4" spans="1:26">
      <c r="A4" s="83">
        <v>3</v>
      </c>
      <c r="B4" s="121">
        <f t="shared" si="3"/>
        <v>3</v>
      </c>
      <c r="C4" s="84" t="s">
        <v>425</v>
      </c>
      <c r="D4" s="85">
        <v>1797494892</v>
      </c>
      <c r="E4" s="119">
        <f>'Student Enrollment Data'!CK6</f>
        <v>5161.4496078431375</v>
      </c>
      <c r="F4" s="82">
        <f t="shared" si="0"/>
        <v>348253.88768081681</v>
      </c>
      <c r="G4" s="118">
        <f t="shared" si="1"/>
        <v>0.61636885416578957</v>
      </c>
      <c r="H4" s="269">
        <v>0.90557527778440283</v>
      </c>
      <c r="I4" s="269">
        <f t="shared" ref="I4:I67" si="6">MIN(G4,H4)</f>
        <v>0.61636885416578957</v>
      </c>
      <c r="J4">
        <f t="shared" si="2"/>
        <v>0.38363114583421043</v>
      </c>
      <c r="K4">
        <f>IF(J4&gt;'Front page'!$E$21,'Front page'!$E$21,J4)+1</f>
        <v>1.1000000000000001</v>
      </c>
      <c r="L4" s="34">
        <f t="shared" si="4"/>
        <v>1.1000000000000001</v>
      </c>
      <c r="M4">
        <v>3</v>
      </c>
      <c r="N4" t="s">
        <v>13</v>
      </c>
      <c r="O4">
        <f t="shared" si="5"/>
        <v>1.1000000000000001</v>
      </c>
      <c r="Q4" s="65">
        <f>IF(J4=1,0,IF(J4&gt;0.01,0.01,J4*-1))</f>
        <v>0.01</v>
      </c>
      <c r="R4" s="65">
        <f>IF(Q4&gt;10%,10%,Q4)</f>
        <v>0.01</v>
      </c>
      <c r="T4" s="39"/>
    </row>
    <row r="5" spans="1:26">
      <c r="A5" s="83">
        <v>11</v>
      </c>
      <c r="B5" s="121">
        <f t="shared" si="3"/>
        <v>11</v>
      </c>
      <c r="C5" s="84" t="s">
        <v>426</v>
      </c>
      <c r="D5" s="85">
        <v>265356404</v>
      </c>
      <c r="E5" s="119">
        <f>'Student Enrollment Data'!CK7</f>
        <v>147</v>
      </c>
      <c r="F5" s="82">
        <f t="shared" si="0"/>
        <v>1805145.6054421768</v>
      </c>
      <c r="G5" s="118">
        <f t="shared" si="1"/>
        <v>3.1948976530839555</v>
      </c>
      <c r="H5" s="269">
        <v>1.3294000746936214</v>
      </c>
      <c r="I5" s="269">
        <f t="shared" si="6"/>
        <v>1.3294000746936214</v>
      </c>
      <c r="J5">
        <f t="shared" si="2"/>
        <v>0</v>
      </c>
      <c r="K5">
        <f>IF(J5&gt;'Front page'!$E$21,'Front page'!$E$21,J5)+1</f>
        <v>1</v>
      </c>
      <c r="L5" s="34">
        <f t="shared" si="4"/>
        <v>1</v>
      </c>
      <c r="M5">
        <v>11</v>
      </c>
      <c r="N5" t="s">
        <v>14</v>
      </c>
      <c r="O5">
        <f t="shared" si="5"/>
        <v>1</v>
      </c>
      <c r="Q5" s="65">
        <f t="shared" ref="Q5" si="7">IF(J5=1,0,IF(J5&lt;0.1,0.1,J5*-1))</f>
        <v>0.1</v>
      </c>
      <c r="R5" s="65">
        <f t="shared" ref="R5:R68" si="8">IF(Q5&gt;10%,10%,Q5)</f>
        <v>0.1</v>
      </c>
      <c r="T5" s="157" t="s">
        <v>559</v>
      </c>
    </row>
    <row r="6" spans="1:26">
      <c r="A6" s="83">
        <v>13</v>
      </c>
      <c r="B6" s="121">
        <f t="shared" si="3"/>
        <v>13</v>
      </c>
      <c r="C6" s="87" t="s">
        <v>427</v>
      </c>
      <c r="D6" s="85">
        <v>190715316</v>
      </c>
      <c r="E6" s="119">
        <f>'Student Enrollment Data'!CK8</f>
        <v>272</v>
      </c>
      <c r="F6" s="82">
        <f t="shared" si="0"/>
        <v>701159.25</v>
      </c>
      <c r="G6" s="118">
        <f t="shared" si="1"/>
        <v>1.2409702771397093</v>
      </c>
      <c r="H6" s="269">
        <v>0.88680362072328522</v>
      </c>
      <c r="I6" s="269">
        <f t="shared" si="6"/>
        <v>0.88680362072328522</v>
      </c>
      <c r="J6">
        <f t="shared" si="2"/>
        <v>0</v>
      </c>
      <c r="K6">
        <f>IF(J6&gt;'Front page'!$E$21,'Front page'!$E$21,J6)+1</f>
        <v>1</v>
      </c>
      <c r="L6" s="34">
        <f t="shared" si="4"/>
        <v>1</v>
      </c>
      <c r="M6">
        <v>13</v>
      </c>
      <c r="N6" t="s">
        <v>15</v>
      </c>
      <c r="O6">
        <f t="shared" si="5"/>
        <v>1</v>
      </c>
      <c r="Q6" s="65">
        <f t="shared" ref="Q6" si="9">IF(J6=1,0,IF(J6&gt;0.01,0.1,J6*-1))</f>
        <v>0</v>
      </c>
      <c r="R6" s="65">
        <f t="shared" si="8"/>
        <v>0</v>
      </c>
      <c r="T6" s="39"/>
    </row>
    <row r="7" spans="1:26">
      <c r="A7" s="83">
        <v>21</v>
      </c>
      <c r="B7" s="121">
        <f t="shared" si="3"/>
        <v>21</v>
      </c>
      <c r="C7" s="84" t="s">
        <v>428</v>
      </c>
      <c r="D7" s="85">
        <v>718004683</v>
      </c>
      <c r="E7" s="119">
        <f>'Student Enrollment Data'!CK9</f>
        <v>1229</v>
      </c>
      <c r="F7" s="82">
        <f t="shared" si="0"/>
        <v>584218.6192026037</v>
      </c>
      <c r="G7" s="118">
        <f t="shared" si="1"/>
        <v>1.0339989692527529</v>
      </c>
      <c r="H7" s="269">
        <v>0.9763830672893129</v>
      </c>
      <c r="I7" s="269">
        <f t="shared" si="6"/>
        <v>0.9763830672893129</v>
      </c>
      <c r="J7">
        <f t="shared" si="2"/>
        <v>0</v>
      </c>
      <c r="K7">
        <f>IF(J7&gt;'Front page'!$E$21,'Front page'!$E$21,J7)+1</f>
        <v>1</v>
      </c>
      <c r="L7" s="34">
        <f t="shared" si="4"/>
        <v>1</v>
      </c>
      <c r="M7">
        <v>21</v>
      </c>
      <c r="N7" t="s">
        <v>16</v>
      </c>
      <c r="O7">
        <f t="shared" si="5"/>
        <v>1</v>
      </c>
      <c r="Q7" s="65">
        <f t="shared" ref="Q7" si="10">IF(J7=1,0,IF(J7&gt;0.01,0.01,J7*-1))</f>
        <v>0</v>
      </c>
      <c r="R7" s="65">
        <f t="shared" si="8"/>
        <v>0</v>
      </c>
      <c r="T7" s="39"/>
    </row>
    <row r="8" spans="1:26">
      <c r="A8" s="83">
        <v>25</v>
      </c>
      <c r="B8" s="121">
        <f t="shared" si="3"/>
        <v>25</v>
      </c>
      <c r="C8" s="87" t="s">
        <v>429</v>
      </c>
      <c r="D8" s="85">
        <v>3572615630</v>
      </c>
      <c r="E8" s="119">
        <f>'Student Enrollment Data'!CK10</f>
        <v>12067.65642701525</v>
      </c>
      <c r="F8" s="82">
        <f t="shared" si="0"/>
        <v>296048.83529847325</v>
      </c>
      <c r="G8" s="118">
        <f t="shared" si="1"/>
        <v>0.52397198665957057</v>
      </c>
      <c r="H8" s="269">
        <v>0.7805166554334243</v>
      </c>
      <c r="I8" s="269">
        <f t="shared" si="6"/>
        <v>0.52397198665957057</v>
      </c>
      <c r="J8">
        <f t="shared" si="2"/>
        <v>0.47602801334042943</v>
      </c>
      <c r="K8">
        <f>IF(J8&gt;'Front page'!$E$21,'Front page'!$E$21,J8)+1</f>
        <v>1.1000000000000001</v>
      </c>
      <c r="L8" s="34">
        <f t="shared" si="4"/>
        <v>1.1000000000000001</v>
      </c>
      <c r="M8">
        <v>25</v>
      </c>
      <c r="N8" t="s">
        <v>17</v>
      </c>
      <c r="O8">
        <f t="shared" si="5"/>
        <v>1.1000000000000001</v>
      </c>
      <c r="Q8" s="65">
        <f t="shared" ref="Q8" si="11">IF(J8=1,0,IF(J8&lt;0.1,0.1,J8*-1))</f>
        <v>-0.47602801334042943</v>
      </c>
      <c r="R8" s="65">
        <f t="shared" si="8"/>
        <v>-0.47602801334042943</v>
      </c>
      <c r="T8" t="s">
        <v>419</v>
      </c>
      <c r="U8">
        <v>-6.6666666666666666E-2</v>
      </c>
    </row>
    <row r="9" spans="1:26">
      <c r="A9" s="83">
        <v>33</v>
      </c>
      <c r="B9" s="121">
        <f t="shared" si="3"/>
        <v>33</v>
      </c>
      <c r="C9" s="84" t="s">
        <v>430</v>
      </c>
      <c r="D9" s="85">
        <v>918633332</v>
      </c>
      <c r="E9" s="119">
        <f>'Student Enrollment Data'!CK11</f>
        <v>1127.5</v>
      </c>
      <c r="F9" s="82">
        <f t="shared" si="0"/>
        <v>814752.40088691795</v>
      </c>
      <c r="G9" s="118">
        <f t="shared" si="1"/>
        <v>1.4420169351383185</v>
      </c>
      <c r="H9" s="269">
        <v>1.1689214955988578</v>
      </c>
      <c r="I9" s="269">
        <f t="shared" si="6"/>
        <v>1.1689214955988578</v>
      </c>
      <c r="J9">
        <f t="shared" si="2"/>
        <v>0</v>
      </c>
      <c r="K9">
        <f>IF(J9&gt;'Front page'!$E$21,'Front page'!$E$21,J9)+1</f>
        <v>1</v>
      </c>
      <c r="L9" s="34">
        <f t="shared" si="4"/>
        <v>1</v>
      </c>
      <c r="M9">
        <v>33</v>
      </c>
      <c r="N9" t="s">
        <v>18</v>
      </c>
      <c r="O9">
        <f t="shared" si="5"/>
        <v>1</v>
      </c>
      <c r="Q9" s="65">
        <f t="shared" ref="Q9" si="12">IF(J9=1,0,IF(J9&gt;0.01,0.1,J9*-1))</f>
        <v>0</v>
      </c>
      <c r="R9" s="65">
        <f t="shared" si="8"/>
        <v>0</v>
      </c>
      <c r="T9" t="s">
        <v>420</v>
      </c>
      <c r="U9">
        <v>6.666666666666668E-2</v>
      </c>
    </row>
    <row r="10" spans="1:26">
      <c r="A10" s="83">
        <v>41</v>
      </c>
      <c r="B10" s="121">
        <f t="shared" si="3"/>
        <v>41</v>
      </c>
      <c r="C10" s="84" t="s">
        <v>431</v>
      </c>
      <c r="D10" s="85">
        <v>548989362</v>
      </c>
      <c r="E10" s="119">
        <f>'Student Enrollment Data'!CK12</f>
        <v>940</v>
      </c>
      <c r="F10" s="82">
        <f t="shared" si="0"/>
        <v>584031.23617021274</v>
      </c>
      <c r="G10" s="118">
        <f t="shared" si="1"/>
        <v>1.0336673230915743</v>
      </c>
      <c r="H10" s="269">
        <v>0.79475261999594871</v>
      </c>
      <c r="I10" s="269">
        <f t="shared" si="6"/>
        <v>0.79475261999594871</v>
      </c>
      <c r="J10">
        <f t="shared" si="2"/>
        <v>0</v>
      </c>
      <c r="K10">
        <f>IF(J10&gt;'Front page'!$E$21,'Front page'!$E$21,J10)+1</f>
        <v>1</v>
      </c>
      <c r="L10" s="34">
        <f t="shared" si="4"/>
        <v>1</v>
      </c>
      <c r="M10">
        <v>41</v>
      </c>
      <c r="N10" t="s">
        <v>19</v>
      </c>
      <c r="O10">
        <f t="shared" si="5"/>
        <v>1</v>
      </c>
      <c r="Q10" s="65">
        <f t="shared" ref="Q10" si="13">IF(J10=1,0,IF(J10&gt;0.01,0.01,J10*-1))</f>
        <v>0</v>
      </c>
      <c r="R10" s="65">
        <f t="shared" si="8"/>
        <v>0</v>
      </c>
      <c r="T10" s="39"/>
    </row>
    <row r="11" spans="1:26">
      <c r="A11" s="83">
        <v>44</v>
      </c>
      <c r="B11" s="121">
        <f t="shared" si="3"/>
        <v>44</v>
      </c>
      <c r="C11" s="84" t="s">
        <v>432</v>
      </c>
      <c r="D11" s="85">
        <v>597154463</v>
      </c>
      <c r="E11" s="119">
        <f>'Student Enrollment Data'!CK13</f>
        <v>340.5</v>
      </c>
      <c r="F11" s="82">
        <f t="shared" si="0"/>
        <v>1753757.6005873715</v>
      </c>
      <c r="G11" s="118">
        <f t="shared" si="1"/>
        <v>3.1039468646199588</v>
      </c>
      <c r="H11" s="269">
        <v>1.7778081148201301</v>
      </c>
      <c r="I11" s="269">
        <f t="shared" si="6"/>
        <v>1.7778081148201301</v>
      </c>
      <c r="J11">
        <f t="shared" si="2"/>
        <v>0</v>
      </c>
      <c r="K11">
        <f>IF(J11&gt;'Front page'!$E$21,'Front page'!$E$21,J11)+1</f>
        <v>1</v>
      </c>
      <c r="L11" s="34">
        <f t="shared" si="4"/>
        <v>1</v>
      </c>
      <c r="M11">
        <v>44</v>
      </c>
      <c r="N11" t="s">
        <v>20</v>
      </c>
      <c r="O11">
        <f t="shared" si="5"/>
        <v>1</v>
      </c>
      <c r="Q11" s="65">
        <f t="shared" ref="Q11" si="14">IF(J11=1,0,IF(J11&lt;0.1,0.1,J11*-1))</f>
        <v>0.1</v>
      </c>
      <c r="R11" s="65">
        <f t="shared" si="8"/>
        <v>0.1</v>
      </c>
      <c r="T11" s="39"/>
    </row>
    <row r="12" spans="1:26">
      <c r="A12" s="83">
        <v>52</v>
      </c>
      <c r="B12" s="121">
        <f t="shared" si="3"/>
        <v>52</v>
      </c>
      <c r="C12" s="88" t="s">
        <v>433</v>
      </c>
      <c r="D12" s="85">
        <v>385521083</v>
      </c>
      <c r="E12" s="119">
        <f>'Student Enrollment Data'!CK14</f>
        <v>1705.5</v>
      </c>
      <c r="F12" s="82">
        <f t="shared" si="0"/>
        <v>226045.78305482262</v>
      </c>
      <c r="G12" s="118">
        <f t="shared" si="1"/>
        <v>0.40007473058910059</v>
      </c>
      <c r="H12" s="269">
        <v>0.68374938446141975</v>
      </c>
      <c r="I12" s="269">
        <f t="shared" si="6"/>
        <v>0.40007473058910059</v>
      </c>
      <c r="J12">
        <f t="shared" si="2"/>
        <v>0.59992526941089941</v>
      </c>
      <c r="K12">
        <f>IF(J12&gt;'Front page'!$E$21,'Front page'!$E$21,J12)+1</f>
        <v>1.1000000000000001</v>
      </c>
      <c r="L12" s="34">
        <f t="shared" si="4"/>
        <v>1.1000000000000001</v>
      </c>
      <c r="M12">
        <v>52</v>
      </c>
      <c r="N12" t="s">
        <v>21</v>
      </c>
      <c r="O12">
        <f t="shared" si="5"/>
        <v>1.1000000000000001</v>
      </c>
      <c r="Q12" s="65">
        <f t="shared" ref="Q12" si="15">IF(J12=1,0,IF(J12&gt;0.01,0.1,J12*-1))</f>
        <v>0.1</v>
      </c>
      <c r="R12" s="65">
        <f t="shared" si="8"/>
        <v>0.1</v>
      </c>
      <c r="T12" s="39"/>
      <c r="V12" s="158">
        <f>1-G3</f>
        <v>-4.404160759078124E-3</v>
      </c>
    </row>
    <row r="13" spans="1:26">
      <c r="A13" s="83">
        <v>55</v>
      </c>
      <c r="B13" s="121">
        <f t="shared" si="3"/>
        <v>55</v>
      </c>
      <c r="C13" s="88" t="s">
        <v>350</v>
      </c>
      <c r="D13" s="85">
        <v>813344958</v>
      </c>
      <c r="E13" s="119">
        <f>'Student Enrollment Data'!CK15</f>
        <v>3660.8044754901962</v>
      </c>
      <c r="F13" s="82">
        <f t="shared" si="0"/>
        <v>222176.56349731432</v>
      </c>
      <c r="G13" s="118">
        <f t="shared" si="1"/>
        <v>0.39322666224143854</v>
      </c>
      <c r="H13" s="269">
        <v>0.68391461395273578</v>
      </c>
      <c r="I13" s="269">
        <f t="shared" si="6"/>
        <v>0.39322666224143854</v>
      </c>
      <c r="J13">
        <f t="shared" si="2"/>
        <v>0.60677333775856146</v>
      </c>
      <c r="K13">
        <f>IF(J13&gt;'Front page'!$E$21,'Front page'!$E$21,J13)+1</f>
        <v>1.1000000000000001</v>
      </c>
      <c r="L13" s="34">
        <f t="shared" si="4"/>
        <v>1.1000000000000001</v>
      </c>
      <c r="M13">
        <v>55</v>
      </c>
      <c r="N13" t="s">
        <v>22</v>
      </c>
      <c r="O13">
        <f t="shared" si="5"/>
        <v>1.1000000000000001</v>
      </c>
      <c r="Q13" s="65">
        <f t="shared" ref="Q13" si="16">IF(J13=1,0,IF(J13&gt;0.01,0.01,J13*-1))</f>
        <v>0.01</v>
      </c>
      <c r="R13" s="65">
        <f t="shared" si="8"/>
        <v>0.01</v>
      </c>
      <c r="T13" s="39"/>
      <c r="V13">
        <f>V12*U9</f>
        <v>-2.9361071727187501E-4</v>
      </c>
    </row>
    <row r="14" spans="1:26">
      <c r="A14" s="83">
        <v>58</v>
      </c>
      <c r="B14" s="121">
        <f t="shared" si="3"/>
        <v>58</v>
      </c>
      <c r="C14" s="88" t="s">
        <v>434</v>
      </c>
      <c r="D14" s="85">
        <v>224214743</v>
      </c>
      <c r="E14" s="119">
        <f>'Student Enrollment Data'!CK16</f>
        <v>702</v>
      </c>
      <c r="F14" s="82">
        <f t="shared" si="0"/>
        <v>319394.22079772077</v>
      </c>
      <c r="G14" s="118">
        <f t="shared" si="1"/>
        <v>0.56529060224217109</v>
      </c>
      <c r="H14" s="269">
        <v>0.75029917585667738</v>
      </c>
      <c r="I14" s="269">
        <f t="shared" si="6"/>
        <v>0.56529060224217109</v>
      </c>
      <c r="J14">
        <f t="shared" si="2"/>
        <v>0.43470939775782891</v>
      </c>
      <c r="K14">
        <f>IF(J14&gt;'Front page'!$E$21,'Front page'!$E$21,J14)+1</f>
        <v>1.1000000000000001</v>
      </c>
      <c r="L14" s="34">
        <f t="shared" si="4"/>
        <v>1.1000000000000001</v>
      </c>
      <c r="M14">
        <v>58</v>
      </c>
      <c r="N14" t="s">
        <v>23</v>
      </c>
      <c r="O14">
        <f t="shared" si="5"/>
        <v>1.1000000000000001</v>
      </c>
      <c r="Q14" s="65">
        <f t="shared" ref="Q14" si="17">IF(J14=1,0,IF(J14&lt;0.1,0.1,J14*-1))</f>
        <v>-0.43470939775782891</v>
      </c>
      <c r="R14" s="65">
        <f t="shared" si="8"/>
        <v>-0.43470939775782891</v>
      </c>
      <c r="T14" s="39"/>
      <c r="V14">
        <f>V13-U8</f>
        <v>6.6373055949394785E-2</v>
      </c>
    </row>
    <row r="15" spans="1:26">
      <c r="A15" s="83">
        <v>59</v>
      </c>
      <c r="B15" s="121">
        <f t="shared" si="3"/>
        <v>59</v>
      </c>
      <c r="C15" s="88" t="s">
        <v>435</v>
      </c>
      <c r="D15" s="85">
        <v>207505138</v>
      </c>
      <c r="E15" s="119">
        <f>'Student Enrollment Data'!CK17</f>
        <v>811</v>
      </c>
      <c r="F15" s="82">
        <f t="shared" si="0"/>
        <v>255863.30209617756</v>
      </c>
      <c r="G15" s="118">
        <f t="shared" si="1"/>
        <v>0.45284826936558936</v>
      </c>
      <c r="H15" s="269">
        <v>0.71106505169042877</v>
      </c>
      <c r="I15" s="269">
        <f t="shared" si="6"/>
        <v>0.45284826936558936</v>
      </c>
      <c r="J15">
        <f t="shared" si="2"/>
        <v>0.54715173063441069</v>
      </c>
      <c r="K15">
        <f>IF(J15&gt;'Front page'!$E$21,'Front page'!$E$21,J15)+1</f>
        <v>1.1000000000000001</v>
      </c>
      <c r="L15" s="34">
        <f t="shared" si="4"/>
        <v>1.1000000000000001</v>
      </c>
      <c r="M15">
        <v>59</v>
      </c>
      <c r="N15" t="s">
        <v>24</v>
      </c>
      <c r="O15">
        <f t="shared" si="5"/>
        <v>1.1000000000000001</v>
      </c>
      <c r="Q15" s="65">
        <f t="shared" ref="Q15" si="18">IF(J15=1,0,IF(J15&gt;0.01,0.1,J15*-1))</f>
        <v>0.1</v>
      </c>
      <c r="R15" s="65">
        <f t="shared" si="8"/>
        <v>0.1</v>
      </c>
      <c r="T15" s="39"/>
    </row>
    <row r="16" spans="1:26" ht="15" customHeight="1">
      <c r="A16" s="83">
        <v>60</v>
      </c>
      <c r="B16" s="121">
        <f t="shared" si="3"/>
        <v>60</v>
      </c>
      <c r="C16" s="84" t="s">
        <v>436</v>
      </c>
      <c r="D16" s="85">
        <v>558108455</v>
      </c>
      <c r="E16" s="119">
        <f>'Student Enrollment Data'!CK18</f>
        <v>2241</v>
      </c>
      <c r="F16" s="82">
        <f t="shared" si="0"/>
        <v>249044.37974118697</v>
      </c>
      <c r="G16" s="118">
        <f t="shared" si="1"/>
        <v>0.44077957032943343</v>
      </c>
      <c r="H16" s="269">
        <v>0.72753143531877607</v>
      </c>
      <c r="I16" s="269">
        <f t="shared" si="6"/>
        <v>0.44077957032943343</v>
      </c>
      <c r="J16">
        <f t="shared" si="2"/>
        <v>0.55922042967056651</v>
      </c>
      <c r="K16">
        <f>IF(J16&gt;'Front page'!$E$21,'Front page'!$E$21,J16)+1</f>
        <v>1.1000000000000001</v>
      </c>
      <c r="L16" s="34">
        <f t="shared" si="4"/>
        <v>1.1000000000000001</v>
      </c>
      <c r="M16">
        <v>60</v>
      </c>
      <c r="N16" t="s">
        <v>25</v>
      </c>
      <c r="O16">
        <f t="shared" si="5"/>
        <v>1.1000000000000001</v>
      </c>
      <c r="Q16" s="65">
        <f t="shared" ref="Q16" si="19">IF(J16=1,0,IF(J16&gt;0.01,0.01,J16*-1))</f>
        <v>0.01</v>
      </c>
      <c r="R16" s="65">
        <f t="shared" si="8"/>
        <v>0.01</v>
      </c>
      <c r="T16" s="39"/>
      <c r="U16" s="366" t="s">
        <v>570</v>
      </c>
      <c r="V16" s="366"/>
      <c r="W16" s="366"/>
      <c r="X16" s="366"/>
      <c r="Y16" s="366"/>
      <c r="Z16" s="366"/>
    </row>
    <row r="17" spans="1:26" ht="15" customHeight="1">
      <c r="A17" s="83">
        <v>61</v>
      </c>
      <c r="B17" s="121">
        <f t="shared" si="3"/>
        <v>61</v>
      </c>
      <c r="C17" s="84" t="s">
        <v>352</v>
      </c>
      <c r="D17" s="85">
        <v>9959912468</v>
      </c>
      <c r="E17" s="119">
        <f>'Student Enrollment Data'!CK19</f>
        <v>3258.5</v>
      </c>
      <c r="F17" s="82">
        <f t="shared" si="0"/>
        <v>3056594.2820316097</v>
      </c>
      <c r="G17" s="118">
        <f t="shared" si="1"/>
        <v>5.4098161769618205</v>
      </c>
      <c r="H17" s="269">
        <v>3.7638094764263905</v>
      </c>
      <c r="I17" s="269">
        <f t="shared" si="6"/>
        <v>3.7638094764263905</v>
      </c>
      <c r="J17">
        <f t="shared" si="2"/>
        <v>0</v>
      </c>
      <c r="K17">
        <f>IF(J17&gt;'Front page'!$E$21,'Front page'!$E$21,J17)+1</f>
        <v>1</v>
      </c>
      <c r="L17" s="34">
        <f t="shared" si="4"/>
        <v>1</v>
      </c>
      <c r="M17">
        <v>61</v>
      </c>
      <c r="N17" t="s">
        <v>26</v>
      </c>
      <c r="O17">
        <f t="shared" si="5"/>
        <v>1</v>
      </c>
      <c r="Q17" s="65">
        <f t="shared" ref="Q17" si="20">IF(J17=1,0,IF(J17&lt;0.1,0.1,J17*-1))</f>
        <v>0.1</v>
      </c>
      <c r="R17" s="65">
        <f t="shared" si="8"/>
        <v>0.1</v>
      </c>
      <c r="T17" s="39"/>
      <c r="U17" s="366"/>
      <c r="V17" s="366"/>
      <c r="W17" s="366"/>
      <c r="X17" s="366"/>
      <c r="Y17" s="366"/>
      <c r="Z17" s="366"/>
    </row>
    <row r="18" spans="1:26" ht="15" customHeight="1">
      <c r="A18" s="83">
        <v>71</v>
      </c>
      <c r="B18" s="121">
        <f t="shared" si="3"/>
        <v>71</v>
      </c>
      <c r="C18" s="87" t="s">
        <v>355</v>
      </c>
      <c r="D18" s="85">
        <v>480492753</v>
      </c>
      <c r="E18" s="119">
        <f>'Student Enrollment Data'!CK20</f>
        <v>239</v>
      </c>
      <c r="F18" s="82">
        <f t="shared" si="0"/>
        <v>2010429.9288702928</v>
      </c>
      <c r="G18" s="118">
        <f t="shared" si="1"/>
        <v>3.5582270161880247</v>
      </c>
      <c r="H18" s="269">
        <v>1.5765921186127003</v>
      </c>
      <c r="I18" s="269">
        <f t="shared" si="6"/>
        <v>1.5765921186127003</v>
      </c>
      <c r="J18">
        <f t="shared" si="2"/>
        <v>0</v>
      </c>
      <c r="K18">
        <f>IF(J18&gt;'Front page'!$E$21,'Front page'!$E$21,J18)+1</f>
        <v>1</v>
      </c>
      <c r="L18" s="34">
        <f t="shared" si="4"/>
        <v>1</v>
      </c>
      <c r="M18">
        <v>71</v>
      </c>
      <c r="N18" t="s">
        <v>27</v>
      </c>
      <c r="O18">
        <f t="shared" si="5"/>
        <v>1</v>
      </c>
      <c r="Q18" s="65">
        <f t="shared" ref="Q18" si="21">IF(J18=1,0,IF(J18&gt;0.01,0.1,J18*-1))</f>
        <v>0</v>
      </c>
      <c r="R18" s="65">
        <f t="shared" si="8"/>
        <v>0</v>
      </c>
      <c r="T18" s="39"/>
      <c r="U18" s="366"/>
      <c r="V18" s="366"/>
      <c r="W18" s="366"/>
      <c r="X18" s="366"/>
      <c r="Y18" s="366"/>
      <c r="Z18" s="366"/>
    </row>
    <row r="19" spans="1:26" ht="15" customHeight="1">
      <c r="A19" s="83">
        <v>72</v>
      </c>
      <c r="B19" s="121">
        <f t="shared" si="3"/>
        <v>72</v>
      </c>
      <c r="C19" s="87" t="s">
        <v>437</v>
      </c>
      <c r="D19" s="85">
        <v>379825454</v>
      </c>
      <c r="E19" s="119">
        <f>'Student Enrollment Data'!CK21</f>
        <v>327.5</v>
      </c>
      <c r="F19" s="82">
        <f t="shared" si="0"/>
        <v>1159772.3786259543</v>
      </c>
      <c r="G19" s="118">
        <f t="shared" si="1"/>
        <v>2.0526621450439828</v>
      </c>
      <c r="H19" s="269">
        <v>1.1129986201020745</v>
      </c>
      <c r="I19" s="269">
        <f t="shared" si="6"/>
        <v>1.1129986201020745</v>
      </c>
      <c r="J19">
        <f t="shared" si="2"/>
        <v>0</v>
      </c>
      <c r="K19">
        <f>IF(J19&gt;'Front page'!$E$21,'Front page'!$E$21,J19)+1</f>
        <v>1</v>
      </c>
      <c r="L19" s="34">
        <f t="shared" si="4"/>
        <v>1</v>
      </c>
      <c r="M19">
        <v>72</v>
      </c>
      <c r="N19" t="s">
        <v>28</v>
      </c>
      <c r="O19">
        <f t="shared" si="5"/>
        <v>1</v>
      </c>
      <c r="Q19" s="65">
        <f t="shared" ref="Q19" si="22">IF(J19=1,0,IF(J19&gt;0.01,0.01,J19*-1))</f>
        <v>0</v>
      </c>
      <c r="R19" s="65">
        <f t="shared" si="8"/>
        <v>0</v>
      </c>
      <c r="T19" s="39"/>
      <c r="U19" s="366"/>
      <c r="V19" s="366"/>
      <c r="W19" s="366"/>
      <c r="X19" s="366"/>
      <c r="Y19" s="366"/>
      <c r="Z19" s="366"/>
    </row>
    <row r="20" spans="1:26" ht="15" customHeight="1">
      <c r="A20" s="83">
        <v>73</v>
      </c>
      <c r="B20" s="121">
        <f t="shared" si="3"/>
        <v>73</v>
      </c>
      <c r="C20" s="87" t="s">
        <v>438</v>
      </c>
      <c r="D20" s="85">
        <v>151478370</v>
      </c>
      <c r="E20" s="119">
        <f>'Student Enrollment Data'!CK22</f>
        <v>220</v>
      </c>
      <c r="F20" s="82">
        <f t="shared" si="0"/>
        <v>688538.04545454541</v>
      </c>
      <c r="G20" s="118">
        <f t="shared" si="1"/>
        <v>1.2186322138500789</v>
      </c>
      <c r="H20" s="269">
        <v>0.80374326906569604</v>
      </c>
      <c r="I20" s="269">
        <f t="shared" si="6"/>
        <v>0.80374326906569604</v>
      </c>
      <c r="J20">
        <f t="shared" si="2"/>
        <v>0</v>
      </c>
      <c r="K20">
        <f>IF(J20&gt;'Front page'!$E$21,'Front page'!$E$21,J20)+1</f>
        <v>1</v>
      </c>
      <c r="L20" s="34">
        <f t="shared" si="4"/>
        <v>1</v>
      </c>
      <c r="M20">
        <v>73</v>
      </c>
      <c r="N20" t="s">
        <v>29</v>
      </c>
      <c r="O20">
        <f t="shared" si="5"/>
        <v>1</v>
      </c>
      <c r="Q20" s="65">
        <f t="shared" ref="Q20" si="23">IF(J20=1,0,IF(J20&lt;0.1,0.1,J20*-1))</f>
        <v>0.1</v>
      </c>
      <c r="R20" s="65">
        <f t="shared" si="8"/>
        <v>0.1</v>
      </c>
      <c r="T20" s="39"/>
      <c r="U20" s="366"/>
      <c r="V20" s="366"/>
      <c r="W20" s="366"/>
      <c r="X20" s="366"/>
      <c r="Y20" s="366"/>
      <c r="Z20" s="366"/>
    </row>
    <row r="21" spans="1:26" ht="15" customHeight="1">
      <c r="A21" s="83">
        <v>83</v>
      </c>
      <c r="B21" s="121">
        <f t="shared" si="3"/>
        <v>83</v>
      </c>
      <c r="C21" s="87" t="s">
        <v>439</v>
      </c>
      <c r="D21" s="85">
        <v>2031299805</v>
      </c>
      <c r="E21" s="119">
        <f>'Student Enrollment Data'!CK23</f>
        <v>941.27499999999998</v>
      </c>
      <c r="F21" s="82">
        <f t="shared" si="0"/>
        <v>2158030.1240338902</v>
      </c>
      <c r="G21" s="118">
        <f t="shared" si="1"/>
        <v>3.8194621850858814</v>
      </c>
      <c r="H21" s="269">
        <v>1.9792319903563427</v>
      </c>
      <c r="I21" s="269">
        <f t="shared" si="6"/>
        <v>1.9792319903563427</v>
      </c>
      <c r="J21">
        <f t="shared" si="2"/>
        <v>0</v>
      </c>
      <c r="K21">
        <f>IF(J21&gt;'Front page'!$E$21,'Front page'!$E$21,J21)+1</f>
        <v>1</v>
      </c>
      <c r="L21" s="34">
        <f t="shared" si="4"/>
        <v>1</v>
      </c>
      <c r="M21">
        <v>83</v>
      </c>
      <c r="N21" t="s">
        <v>30</v>
      </c>
      <c r="O21">
        <f t="shared" si="5"/>
        <v>1</v>
      </c>
      <c r="Q21" s="65">
        <f t="shared" ref="Q21" si="24">IF(J21=1,0,IF(J21&gt;0.01,0.1,J21*-1))</f>
        <v>0</v>
      </c>
      <c r="R21" s="65">
        <f t="shared" si="8"/>
        <v>0</v>
      </c>
      <c r="T21" s="39"/>
      <c r="U21" s="366"/>
      <c r="V21" s="366"/>
      <c r="W21" s="366"/>
      <c r="X21" s="366"/>
      <c r="Y21" s="366"/>
      <c r="Z21" s="366"/>
    </row>
    <row r="22" spans="1:26" ht="15" customHeight="1">
      <c r="A22" s="83">
        <v>84</v>
      </c>
      <c r="B22" s="121">
        <f t="shared" si="3"/>
        <v>84</v>
      </c>
      <c r="C22" s="87" t="s">
        <v>359</v>
      </c>
      <c r="D22" s="85">
        <v>5028676031</v>
      </c>
      <c r="E22" s="119">
        <f>'Student Enrollment Data'!CK24</f>
        <v>3676.8495798319327</v>
      </c>
      <c r="F22" s="82">
        <f t="shared" si="0"/>
        <v>1367658.894337978</v>
      </c>
      <c r="G22" s="118">
        <f t="shared" si="1"/>
        <v>2.4205970856680401</v>
      </c>
      <c r="H22" s="269">
        <v>1.69434653374374</v>
      </c>
      <c r="I22" s="269">
        <f t="shared" si="6"/>
        <v>1.69434653374374</v>
      </c>
      <c r="J22">
        <f t="shared" si="2"/>
        <v>0</v>
      </c>
      <c r="K22">
        <f>IF(J22&gt;'Front page'!$E$21,'Front page'!$E$21,J22)+1</f>
        <v>1</v>
      </c>
      <c r="L22" s="34">
        <f t="shared" si="4"/>
        <v>1</v>
      </c>
      <c r="M22">
        <v>84</v>
      </c>
      <c r="N22" t="s">
        <v>31</v>
      </c>
      <c r="O22">
        <f t="shared" si="5"/>
        <v>1</v>
      </c>
      <c r="Q22" s="65">
        <f t="shared" ref="Q22" si="25">IF(J22=1,0,IF(J22&gt;0.01,0.01,J22*-1))</f>
        <v>0</v>
      </c>
      <c r="R22" s="65">
        <f t="shared" si="8"/>
        <v>0</v>
      </c>
      <c r="T22" s="39"/>
      <c r="U22" s="366"/>
      <c r="V22" s="366"/>
      <c r="W22" s="366"/>
      <c r="X22" s="366"/>
      <c r="Y22" s="366"/>
      <c r="Z22" s="366"/>
    </row>
    <row r="23" spans="1:26" ht="15" customHeight="1">
      <c r="A23" s="83">
        <v>91</v>
      </c>
      <c r="B23" s="121">
        <f t="shared" si="3"/>
        <v>91</v>
      </c>
      <c r="C23" s="87" t="s">
        <v>440</v>
      </c>
      <c r="D23" s="85">
        <v>3472106033</v>
      </c>
      <c r="E23" s="119">
        <f>'Student Enrollment Data'!CK25</f>
        <v>9797.6269688203156</v>
      </c>
      <c r="F23" s="82">
        <f t="shared" si="0"/>
        <v>354382.34626093949</v>
      </c>
      <c r="G23" s="118">
        <f t="shared" si="1"/>
        <v>0.62721551267113496</v>
      </c>
      <c r="H23" s="269">
        <v>0.90047575647248734</v>
      </c>
      <c r="I23" s="269">
        <f t="shared" si="6"/>
        <v>0.62721551267113496</v>
      </c>
      <c r="J23">
        <f t="shared" si="2"/>
        <v>0.37278448732886504</v>
      </c>
      <c r="K23">
        <f>IF(J23&gt;'Front page'!$E$21,'Front page'!$E$21,J23)+1</f>
        <v>1.1000000000000001</v>
      </c>
      <c r="L23" s="34">
        <f t="shared" si="4"/>
        <v>1.1000000000000001</v>
      </c>
      <c r="M23">
        <v>91</v>
      </c>
      <c r="N23" t="s">
        <v>32</v>
      </c>
      <c r="O23">
        <f t="shared" si="5"/>
        <v>1.1000000000000001</v>
      </c>
      <c r="Q23" s="65">
        <f t="shared" ref="Q23" si="26">IF(J23=1,0,IF(J23&lt;0.1,0.1,J23*-1))</f>
        <v>-0.37278448732886504</v>
      </c>
      <c r="R23" s="65">
        <f t="shared" si="8"/>
        <v>-0.37278448732886504</v>
      </c>
      <c r="T23" s="39"/>
      <c r="U23" s="366"/>
      <c r="V23" s="366"/>
      <c r="W23" s="366"/>
      <c r="X23" s="366"/>
      <c r="Y23" s="366"/>
      <c r="Z23" s="366"/>
    </row>
    <row r="24" spans="1:26" ht="15" customHeight="1">
      <c r="A24" s="83">
        <v>92</v>
      </c>
      <c r="B24" s="121">
        <f t="shared" si="3"/>
        <v>92</v>
      </c>
      <c r="C24" s="84" t="s">
        <v>441</v>
      </c>
      <c r="D24" s="85">
        <v>220412847</v>
      </c>
      <c r="E24" s="119">
        <f>'Student Enrollment Data'!CK26</f>
        <v>40.5</v>
      </c>
      <c r="F24" s="82">
        <f t="shared" si="0"/>
        <v>5442292.5185185187</v>
      </c>
      <c r="G24" s="118">
        <f t="shared" si="1"/>
        <v>9.6322244268777624</v>
      </c>
      <c r="H24" s="269">
        <v>3.3800061714474587</v>
      </c>
      <c r="I24" s="269">
        <f t="shared" si="6"/>
        <v>3.3800061714474587</v>
      </c>
      <c r="J24">
        <f t="shared" si="2"/>
        <v>0</v>
      </c>
      <c r="K24">
        <f>IF(J24&gt;'Front page'!$E$21,'Front page'!$E$21,J24)+1</f>
        <v>1</v>
      </c>
      <c r="L24" s="34">
        <f t="shared" si="4"/>
        <v>1</v>
      </c>
      <c r="M24">
        <v>92</v>
      </c>
      <c r="N24" t="s">
        <v>33</v>
      </c>
      <c r="O24">
        <f t="shared" si="5"/>
        <v>1</v>
      </c>
      <c r="Q24" s="65">
        <f t="shared" ref="Q24" si="27">IF(J24=1,0,IF(J24&gt;0.01,0.1,J24*-1))</f>
        <v>0</v>
      </c>
      <c r="R24" s="65">
        <f t="shared" si="8"/>
        <v>0</v>
      </c>
      <c r="T24" s="39"/>
      <c r="U24" s="366"/>
      <c r="V24" s="366"/>
      <c r="W24" s="366"/>
      <c r="X24" s="366"/>
      <c r="Y24" s="366"/>
      <c r="Z24" s="366"/>
    </row>
    <row r="25" spans="1:26" ht="15" customHeight="1">
      <c r="A25" s="83">
        <v>93</v>
      </c>
      <c r="B25" s="121">
        <f t="shared" si="3"/>
        <v>93</v>
      </c>
      <c r="C25" s="84" t="s">
        <v>442</v>
      </c>
      <c r="D25" s="85">
        <v>3008936382</v>
      </c>
      <c r="E25" s="119">
        <f>'Student Enrollment Data'!CK27</f>
        <v>12340.201470588236</v>
      </c>
      <c r="F25" s="82">
        <f t="shared" si="0"/>
        <v>243832.03055246142</v>
      </c>
      <c r="G25" s="118">
        <f t="shared" si="1"/>
        <v>0.43155431883730566</v>
      </c>
      <c r="H25" s="269">
        <v>0.80023189741826251</v>
      </c>
      <c r="I25" s="269">
        <f t="shared" si="6"/>
        <v>0.43155431883730566</v>
      </c>
      <c r="J25">
        <f t="shared" si="2"/>
        <v>0.56844568116269434</v>
      </c>
      <c r="K25">
        <f>IF(J25&gt;'Front page'!$E$21,'Front page'!$E$21,J25)+1</f>
        <v>1.1000000000000001</v>
      </c>
      <c r="L25" s="34">
        <f t="shared" si="4"/>
        <v>1.1000000000000001</v>
      </c>
      <c r="M25">
        <v>93</v>
      </c>
      <c r="N25" t="s">
        <v>34</v>
      </c>
      <c r="O25">
        <f t="shared" si="5"/>
        <v>1.1000000000000001</v>
      </c>
      <c r="Q25" s="65">
        <f t="shared" ref="Q25" si="28">IF(J25=1,0,IF(J25&gt;0.01,0.01,J25*-1))</f>
        <v>0.01</v>
      </c>
      <c r="R25" s="65">
        <f t="shared" si="8"/>
        <v>0.01</v>
      </c>
      <c r="T25" s="39"/>
      <c r="U25" s="366"/>
      <c r="V25" s="366"/>
      <c r="W25" s="366"/>
      <c r="X25" s="366"/>
      <c r="Y25" s="366"/>
      <c r="Z25" s="366"/>
    </row>
    <row r="26" spans="1:26" ht="15" customHeight="1">
      <c r="A26" s="83">
        <v>101</v>
      </c>
      <c r="B26" s="121">
        <f t="shared" si="3"/>
        <v>101</v>
      </c>
      <c r="C26" s="87" t="s">
        <v>362</v>
      </c>
      <c r="D26" s="85">
        <v>958944100</v>
      </c>
      <c r="E26" s="119">
        <f>'Student Enrollment Data'!CK28</f>
        <v>1365.0419117647059</v>
      </c>
      <c r="F26" s="82">
        <f t="shared" si="0"/>
        <v>702501.58016048849</v>
      </c>
      <c r="G26" s="118">
        <f t="shared" si="1"/>
        <v>1.243346045314021</v>
      </c>
      <c r="H26" s="269">
        <v>0.98438661671889716</v>
      </c>
      <c r="I26" s="269">
        <f t="shared" si="6"/>
        <v>0.98438661671889716</v>
      </c>
      <c r="J26">
        <f t="shared" si="2"/>
        <v>0</v>
      </c>
      <c r="K26">
        <f>IF(J26&gt;'Front page'!$E$21,'Front page'!$E$21,J26)+1</f>
        <v>1</v>
      </c>
      <c r="L26" s="34">
        <f t="shared" si="4"/>
        <v>1</v>
      </c>
      <c r="M26">
        <v>101</v>
      </c>
      <c r="N26" t="s">
        <v>35</v>
      </c>
      <c r="O26">
        <f t="shared" si="5"/>
        <v>1</v>
      </c>
      <c r="Q26" s="65">
        <f t="shared" ref="Q26" si="29">IF(J26=1,0,IF(J26&lt;0.1,0.1,J26*-1))</f>
        <v>0.1</v>
      </c>
      <c r="R26" s="65">
        <f t="shared" si="8"/>
        <v>0.1</v>
      </c>
      <c r="T26" s="39"/>
      <c r="U26" s="366"/>
      <c r="V26" s="366"/>
      <c r="W26" s="366"/>
      <c r="X26" s="366"/>
      <c r="Y26" s="366"/>
      <c r="Z26" s="366"/>
    </row>
    <row r="27" spans="1:26" ht="15" customHeight="1">
      <c r="A27" s="83">
        <v>111</v>
      </c>
      <c r="B27" s="121">
        <f t="shared" si="3"/>
        <v>111</v>
      </c>
      <c r="C27" s="88" t="s">
        <v>364</v>
      </c>
      <c r="D27" s="85">
        <v>175544573</v>
      </c>
      <c r="E27" s="119">
        <f>'Student Enrollment Data'!CK29</f>
        <v>402</v>
      </c>
      <c r="F27" s="82">
        <f t="shared" si="0"/>
        <v>436678.04228855722</v>
      </c>
      <c r="G27" s="118">
        <f t="shared" si="1"/>
        <v>0.7728693177187016</v>
      </c>
      <c r="H27" s="269">
        <v>0.79863110888400768</v>
      </c>
      <c r="I27" s="269">
        <f t="shared" si="6"/>
        <v>0.7728693177187016</v>
      </c>
      <c r="J27">
        <f t="shared" si="2"/>
        <v>0.2271306822812984</v>
      </c>
      <c r="K27">
        <f>IF(J27&gt;'Front page'!$E$21,'Front page'!$E$21,J27)+1</f>
        <v>1.1000000000000001</v>
      </c>
      <c r="L27" s="34">
        <f t="shared" si="4"/>
        <v>1.1000000000000001</v>
      </c>
      <c r="M27">
        <v>111</v>
      </c>
      <c r="N27" t="s">
        <v>36</v>
      </c>
      <c r="O27">
        <f t="shared" si="5"/>
        <v>1.1000000000000001</v>
      </c>
      <c r="Q27" s="65">
        <f t="shared" ref="Q27" si="30">IF(J27=1,0,IF(J27&gt;0.01,0.1,J27*-1))</f>
        <v>0.1</v>
      </c>
      <c r="R27" s="65">
        <f t="shared" si="8"/>
        <v>0.1</v>
      </c>
      <c r="T27" s="39"/>
      <c r="U27" s="366"/>
      <c r="V27" s="366"/>
      <c r="W27" s="366"/>
      <c r="X27" s="366"/>
      <c r="Y27" s="366"/>
      <c r="Z27" s="366"/>
    </row>
    <row r="28" spans="1:26" ht="15" customHeight="1">
      <c r="A28" s="83">
        <v>121</v>
      </c>
      <c r="B28" s="121">
        <f t="shared" si="3"/>
        <v>121</v>
      </c>
      <c r="C28" s="87" t="s">
        <v>443</v>
      </c>
      <c r="D28" s="85">
        <v>159508789</v>
      </c>
      <c r="E28" s="119">
        <f>'Student Enrollment Data'!CK30</f>
        <v>165.5</v>
      </c>
      <c r="F28" s="82">
        <f t="shared" si="0"/>
        <v>963799.32930513599</v>
      </c>
      <c r="G28" s="118">
        <f t="shared" si="1"/>
        <v>1.705812653537496</v>
      </c>
      <c r="H28" s="269">
        <v>0.9994860810310594</v>
      </c>
      <c r="I28" s="269">
        <f t="shared" si="6"/>
        <v>0.9994860810310594</v>
      </c>
      <c r="J28">
        <f t="shared" si="2"/>
        <v>0</v>
      </c>
      <c r="K28">
        <f>IF(J28&gt;'Front page'!$E$21,'Front page'!$E$21,J28)+1</f>
        <v>1</v>
      </c>
      <c r="L28" s="34">
        <f t="shared" si="4"/>
        <v>1</v>
      </c>
      <c r="M28">
        <v>121</v>
      </c>
      <c r="N28" t="s">
        <v>37</v>
      </c>
      <c r="O28">
        <f t="shared" si="5"/>
        <v>1</v>
      </c>
      <c r="Q28" s="65">
        <f t="shared" ref="Q28" si="31">IF(J28=1,0,IF(J28&gt;0.01,0.01,J28*-1))</f>
        <v>0</v>
      </c>
      <c r="R28" s="65">
        <f t="shared" si="8"/>
        <v>0</v>
      </c>
      <c r="T28" s="39"/>
      <c r="U28" s="366"/>
      <c r="V28" s="366"/>
      <c r="W28" s="366"/>
      <c r="X28" s="366"/>
      <c r="Y28" s="366"/>
      <c r="Z28" s="366"/>
    </row>
    <row r="29" spans="1:26">
      <c r="A29" s="83">
        <v>131</v>
      </c>
      <c r="B29" s="121">
        <f t="shared" si="3"/>
        <v>131</v>
      </c>
      <c r="C29" s="87" t="s">
        <v>444</v>
      </c>
      <c r="D29" s="85">
        <v>5431800154</v>
      </c>
      <c r="E29" s="119">
        <f>'Student Enrollment Data'!CK31</f>
        <v>13462.635900980393</v>
      </c>
      <c r="F29" s="82">
        <f t="shared" si="0"/>
        <v>403472.26159510401</v>
      </c>
      <c r="G29" s="118">
        <f t="shared" si="1"/>
        <v>0.71409895011705471</v>
      </c>
      <c r="H29" s="269">
        <v>0.76253390058401171</v>
      </c>
      <c r="I29" s="269">
        <f t="shared" si="6"/>
        <v>0.71409895011705471</v>
      </c>
      <c r="J29">
        <f t="shared" si="2"/>
        <v>0.28590104988294529</v>
      </c>
      <c r="K29">
        <f>IF(J29&gt;'Front page'!$E$21,'Front page'!$E$21,J29)+1</f>
        <v>1.1000000000000001</v>
      </c>
      <c r="L29" s="34">
        <f t="shared" si="4"/>
        <v>1.1000000000000001</v>
      </c>
      <c r="M29">
        <v>131</v>
      </c>
      <c r="N29" t="s">
        <v>38</v>
      </c>
      <c r="O29">
        <f t="shared" si="5"/>
        <v>1.1000000000000001</v>
      </c>
      <c r="Q29" s="65">
        <f t="shared" ref="Q29" si="32">IF(J29=1,0,IF(J29&lt;0.1,0.1,J29*-1))</f>
        <v>-0.28590104988294529</v>
      </c>
      <c r="R29" s="65">
        <f t="shared" si="8"/>
        <v>-0.28590104988294529</v>
      </c>
      <c r="T29" s="39"/>
      <c r="U29" s="366"/>
      <c r="V29" s="366"/>
      <c r="W29" s="366"/>
      <c r="X29" s="366"/>
      <c r="Y29" s="366"/>
      <c r="Z29" s="366"/>
    </row>
    <row r="30" spans="1:26">
      <c r="A30" s="83">
        <v>132</v>
      </c>
      <c r="B30" s="121">
        <f t="shared" si="3"/>
        <v>132</v>
      </c>
      <c r="C30" s="87" t="s">
        <v>445</v>
      </c>
      <c r="D30" s="85">
        <v>1905333173</v>
      </c>
      <c r="E30" s="119">
        <f>'Student Enrollment Data'!CK32</f>
        <v>6110.0209203036056</v>
      </c>
      <c r="F30" s="82">
        <f t="shared" si="0"/>
        <v>311837.42213853571</v>
      </c>
      <c r="G30" s="118">
        <f t="shared" si="1"/>
        <v>0.55191594801579125</v>
      </c>
      <c r="H30" s="269">
        <v>0.69401651304095013</v>
      </c>
      <c r="I30" s="269">
        <f t="shared" si="6"/>
        <v>0.55191594801579125</v>
      </c>
      <c r="J30">
        <f t="shared" si="2"/>
        <v>0.44808405198420875</v>
      </c>
      <c r="K30">
        <f>IF(J30&gt;'Front page'!$E$21,'Front page'!$E$21,J30)+1</f>
        <v>1.1000000000000001</v>
      </c>
      <c r="L30" s="34">
        <f t="shared" si="4"/>
        <v>1.1000000000000001</v>
      </c>
      <c r="M30">
        <v>132</v>
      </c>
      <c r="N30" t="s">
        <v>39</v>
      </c>
      <c r="O30">
        <f t="shared" si="5"/>
        <v>1.1000000000000001</v>
      </c>
      <c r="Q30" s="65">
        <f t="shared" ref="Q30" si="33">IF(J30=1,0,IF(J30&gt;0.01,0.1,J30*-1))</f>
        <v>0.1</v>
      </c>
      <c r="R30" s="65">
        <f t="shared" si="8"/>
        <v>0.1</v>
      </c>
      <c r="T30" s="39"/>
      <c r="U30" s="366"/>
      <c r="V30" s="366"/>
      <c r="W30" s="366"/>
      <c r="X30" s="366"/>
      <c r="Y30" s="366"/>
      <c r="Z30" s="366"/>
    </row>
    <row r="31" spans="1:26">
      <c r="A31" s="83">
        <v>133</v>
      </c>
      <c r="B31" s="121">
        <f t="shared" si="3"/>
        <v>133</v>
      </c>
      <c r="C31" s="87" t="s">
        <v>446</v>
      </c>
      <c r="D31" s="85">
        <v>248079571</v>
      </c>
      <c r="E31" s="119">
        <f>'Student Enrollment Data'!CK33</f>
        <v>499.5</v>
      </c>
      <c r="F31" s="82">
        <f t="shared" si="0"/>
        <v>496655.79779779777</v>
      </c>
      <c r="G31" s="118">
        <f t="shared" si="1"/>
        <v>0.87902296523389867</v>
      </c>
      <c r="H31" s="269">
        <v>0.74850279487749094</v>
      </c>
      <c r="I31" s="269">
        <f t="shared" si="6"/>
        <v>0.74850279487749094</v>
      </c>
      <c r="J31">
        <f t="shared" si="2"/>
        <v>0.12097703476610133</v>
      </c>
      <c r="K31">
        <f>IF(J31&gt;'Front page'!$E$21,'Front page'!$E$21,J31)+1</f>
        <v>1.1000000000000001</v>
      </c>
      <c r="L31" s="34">
        <f t="shared" si="4"/>
        <v>1.1000000000000001</v>
      </c>
      <c r="M31">
        <v>133</v>
      </c>
      <c r="N31" t="s">
        <v>40</v>
      </c>
      <c r="O31">
        <f t="shared" si="5"/>
        <v>1.1000000000000001</v>
      </c>
      <c r="Q31" s="65">
        <f t="shared" ref="Q31" si="34">IF(J31=1,0,IF(J31&gt;0.01,0.01,J31*-1))</f>
        <v>0.01</v>
      </c>
      <c r="R31" s="65">
        <f t="shared" si="8"/>
        <v>0.01</v>
      </c>
      <c r="T31" s="39"/>
      <c r="U31" s="366"/>
      <c r="V31" s="366"/>
      <c r="W31" s="366"/>
      <c r="X31" s="366"/>
      <c r="Y31" s="366"/>
      <c r="Z31" s="366"/>
    </row>
    <row r="32" spans="1:26">
      <c r="A32" s="83">
        <v>134</v>
      </c>
      <c r="B32" s="121">
        <f t="shared" si="3"/>
        <v>134</v>
      </c>
      <c r="C32" s="87" t="s">
        <v>447</v>
      </c>
      <c r="D32" s="85">
        <v>1272404749</v>
      </c>
      <c r="E32" s="119">
        <f>'Student Enrollment Data'!CK34</f>
        <v>3930.247549019608</v>
      </c>
      <c r="F32" s="82">
        <f t="shared" si="0"/>
        <v>323746.7190374303</v>
      </c>
      <c r="G32" s="118">
        <f t="shared" si="1"/>
        <v>0.57299401761718394</v>
      </c>
      <c r="H32" s="269">
        <v>0.67740442430528502</v>
      </c>
      <c r="I32" s="269">
        <f t="shared" si="6"/>
        <v>0.57299401761718394</v>
      </c>
      <c r="J32">
        <f t="shared" si="2"/>
        <v>0.42700598238281606</v>
      </c>
      <c r="K32">
        <f>IF(J32&gt;'Front page'!$E$21,'Front page'!$E$21,J32)+1</f>
        <v>1.1000000000000001</v>
      </c>
      <c r="L32" s="34">
        <f t="shared" si="4"/>
        <v>1.1000000000000001</v>
      </c>
      <c r="M32">
        <v>134</v>
      </c>
      <c r="N32" t="s">
        <v>41</v>
      </c>
      <c r="O32">
        <f t="shared" si="5"/>
        <v>1.1000000000000001</v>
      </c>
      <c r="Q32" s="65">
        <f t="shared" ref="Q32" si="35">IF(J32=1,0,IF(J32&lt;0.1,0.1,J32*-1))</f>
        <v>-0.42700598238281606</v>
      </c>
      <c r="R32" s="65">
        <f t="shared" si="8"/>
        <v>-0.42700598238281606</v>
      </c>
      <c r="T32" s="39"/>
    </row>
    <row r="33" spans="1:20">
      <c r="A33" s="83">
        <v>135</v>
      </c>
      <c r="B33" s="121">
        <f t="shared" si="3"/>
        <v>135</v>
      </c>
      <c r="C33" s="87" t="s">
        <v>448</v>
      </c>
      <c r="D33" s="85">
        <v>134233981</v>
      </c>
      <c r="E33" s="119">
        <f>'Student Enrollment Data'!CK35</f>
        <v>413.5</v>
      </c>
      <c r="F33" s="82">
        <f t="shared" si="0"/>
        <v>324628.73276904476</v>
      </c>
      <c r="G33" s="118">
        <f t="shared" si="1"/>
        <v>0.57455507928036897</v>
      </c>
      <c r="H33" s="269">
        <v>0.61924193686061835</v>
      </c>
      <c r="I33" s="269">
        <f t="shared" si="6"/>
        <v>0.57455507928036897</v>
      </c>
      <c r="J33">
        <f t="shared" si="2"/>
        <v>0.42544492071963103</v>
      </c>
      <c r="K33">
        <f>IF(J33&gt;'Front page'!$E$21,'Front page'!$E$21,J33)+1</f>
        <v>1.1000000000000001</v>
      </c>
      <c r="L33" s="34">
        <f t="shared" si="4"/>
        <v>1.1000000000000001</v>
      </c>
      <c r="M33">
        <v>135</v>
      </c>
      <c r="N33" t="s">
        <v>42</v>
      </c>
      <c r="O33">
        <f t="shared" si="5"/>
        <v>1.1000000000000001</v>
      </c>
      <c r="Q33" s="65">
        <f t="shared" ref="Q33" si="36">IF(J33=1,0,IF(J33&gt;0.01,0.1,J33*-1))</f>
        <v>0.1</v>
      </c>
      <c r="R33" s="65">
        <f t="shared" si="8"/>
        <v>0.1</v>
      </c>
      <c r="T33" s="39"/>
    </row>
    <row r="34" spans="1:20">
      <c r="A34" s="83">
        <v>136</v>
      </c>
      <c r="B34" s="121">
        <f t="shared" si="3"/>
        <v>136</v>
      </c>
      <c r="C34" s="84" t="s">
        <v>449</v>
      </c>
      <c r="D34" s="85">
        <v>285382823</v>
      </c>
      <c r="E34" s="119">
        <f>'Student Enrollment Data'!CK36</f>
        <v>837</v>
      </c>
      <c r="F34" s="82">
        <f t="shared" si="0"/>
        <v>340959.16726403823</v>
      </c>
      <c r="G34" s="118">
        <f t="shared" ref="G34:G65" si="37">SUM(F34/$F$118)</f>
        <v>0.603458047929879</v>
      </c>
      <c r="H34" s="269">
        <v>0.69486675228241235</v>
      </c>
      <c r="I34" s="269">
        <f t="shared" si="6"/>
        <v>0.603458047929879</v>
      </c>
      <c r="J34">
        <f t="shared" ref="J34:J65" si="38">IF(G34&gt;1,0,G34-1)*-1</f>
        <v>0.396541952070121</v>
      </c>
      <c r="K34">
        <f>IF(J34&gt;'Front page'!$E$21,'Front page'!$E$21,J34)+1</f>
        <v>1.1000000000000001</v>
      </c>
      <c r="L34" s="34">
        <f t="shared" si="4"/>
        <v>1.1000000000000001</v>
      </c>
      <c r="M34">
        <v>136</v>
      </c>
      <c r="N34" t="s">
        <v>43</v>
      </c>
      <c r="O34">
        <f t="shared" si="5"/>
        <v>1.1000000000000001</v>
      </c>
      <c r="Q34" s="65">
        <f t="shared" ref="Q34" si="39">IF(J34=1,0,IF(J34&gt;0.01,0.01,J34*-1))</f>
        <v>0.01</v>
      </c>
      <c r="R34" s="65">
        <f t="shared" si="8"/>
        <v>0.01</v>
      </c>
      <c r="T34" s="39"/>
    </row>
    <row r="35" spans="1:20">
      <c r="A35" s="83">
        <v>137</v>
      </c>
      <c r="B35" s="121">
        <f t="shared" si="3"/>
        <v>137</v>
      </c>
      <c r="C35" s="88" t="s">
        <v>450</v>
      </c>
      <c r="D35" s="85">
        <v>386908175</v>
      </c>
      <c r="E35" s="119">
        <f>'Student Enrollment Data'!CK37</f>
        <v>1031</v>
      </c>
      <c r="F35" s="82">
        <f t="shared" si="0"/>
        <v>375274.66052376333</v>
      </c>
      <c r="G35" s="118">
        <f t="shared" si="37"/>
        <v>0.6641924776342677</v>
      </c>
      <c r="H35" s="269">
        <v>0.70423273480261783</v>
      </c>
      <c r="I35" s="269">
        <f t="shared" si="6"/>
        <v>0.6641924776342677</v>
      </c>
      <c r="J35">
        <f t="shared" si="38"/>
        <v>0.3358075223657323</v>
      </c>
      <c r="K35">
        <f>IF(J35&gt;'Front page'!$E$21,'Front page'!$E$21,J35)+1</f>
        <v>1.1000000000000001</v>
      </c>
      <c r="L35" s="34">
        <f t="shared" si="4"/>
        <v>1.1000000000000001</v>
      </c>
      <c r="M35">
        <v>137</v>
      </c>
      <c r="N35" t="s">
        <v>44</v>
      </c>
      <c r="O35">
        <f t="shared" si="5"/>
        <v>1.1000000000000001</v>
      </c>
      <c r="Q35" s="65">
        <f t="shared" ref="Q35" si="40">IF(J35=1,0,IF(J35&lt;0.1,0.1,J35*-1))</f>
        <v>-0.3358075223657323</v>
      </c>
      <c r="R35" s="65">
        <f t="shared" si="8"/>
        <v>-0.3358075223657323</v>
      </c>
      <c r="T35" s="39"/>
    </row>
    <row r="36" spans="1:20">
      <c r="A36" s="83">
        <v>139</v>
      </c>
      <c r="B36" s="121">
        <f t="shared" si="3"/>
        <v>139</v>
      </c>
      <c r="C36" s="88" t="s">
        <v>451</v>
      </c>
      <c r="D36" s="85">
        <v>2826031564</v>
      </c>
      <c r="E36" s="119">
        <f>'Student Enrollment Data'!CK38</f>
        <v>8689.1654411764703</v>
      </c>
      <c r="F36" s="82">
        <f t="shared" si="0"/>
        <v>325236.24773075664</v>
      </c>
      <c r="G36" s="118">
        <f t="shared" si="37"/>
        <v>0.57563031006481935</v>
      </c>
      <c r="H36" s="269">
        <v>0.69335012423286924</v>
      </c>
      <c r="I36" s="269">
        <f t="shared" si="6"/>
        <v>0.57563031006481935</v>
      </c>
      <c r="J36">
        <f t="shared" si="38"/>
        <v>0.42436968993518065</v>
      </c>
      <c r="K36">
        <f>IF(J36&gt;'Front page'!$E$21,'Front page'!$E$21,J36)+1</f>
        <v>1.1000000000000001</v>
      </c>
      <c r="L36" s="34">
        <f t="shared" si="4"/>
        <v>1.1000000000000001</v>
      </c>
      <c r="M36">
        <v>139</v>
      </c>
      <c r="N36" t="s">
        <v>45</v>
      </c>
      <c r="O36">
        <f t="shared" si="5"/>
        <v>1.1000000000000001</v>
      </c>
      <c r="Q36" s="65">
        <f t="shared" ref="Q36" si="41">IF(J36=1,0,IF(J36&gt;0.01,0.1,J36*-1))</f>
        <v>0.1</v>
      </c>
      <c r="R36" s="65">
        <f t="shared" si="8"/>
        <v>0.1</v>
      </c>
      <c r="T36" s="39"/>
    </row>
    <row r="37" spans="1:20">
      <c r="A37" s="83">
        <v>148</v>
      </c>
      <c r="B37" s="121">
        <f t="shared" si="3"/>
        <v>148</v>
      </c>
      <c r="C37" s="84" t="s">
        <v>452</v>
      </c>
      <c r="D37" s="85">
        <v>158853819</v>
      </c>
      <c r="E37" s="119">
        <f>'Student Enrollment Data'!CK39</f>
        <v>502.5</v>
      </c>
      <c r="F37" s="82">
        <f t="shared" si="0"/>
        <v>316127.00298507465</v>
      </c>
      <c r="G37" s="118">
        <f t="shared" si="37"/>
        <v>0.55950800692671998</v>
      </c>
      <c r="H37" s="269">
        <v>0.71049411815666863</v>
      </c>
      <c r="I37" s="269">
        <f t="shared" si="6"/>
        <v>0.55950800692671998</v>
      </c>
      <c r="J37">
        <f t="shared" si="38"/>
        <v>0.44049199307328002</v>
      </c>
      <c r="K37">
        <f>IF(J37&gt;'Front page'!$E$21,'Front page'!$E$21,J37)+1</f>
        <v>1.1000000000000001</v>
      </c>
      <c r="L37" s="34">
        <f t="shared" si="4"/>
        <v>1.1000000000000001</v>
      </c>
      <c r="M37">
        <v>148</v>
      </c>
      <c r="N37" t="s">
        <v>46</v>
      </c>
      <c r="O37">
        <f t="shared" si="5"/>
        <v>1.1000000000000001</v>
      </c>
      <c r="Q37" s="65">
        <f t="shared" ref="Q37" si="42">IF(J37=1,0,IF(J37&gt;0.01,0.01,J37*-1))</f>
        <v>0.01</v>
      </c>
      <c r="R37" s="65">
        <f t="shared" si="8"/>
        <v>0.01</v>
      </c>
      <c r="T37" s="39"/>
    </row>
    <row r="38" spans="1:20">
      <c r="A38" s="83">
        <v>149</v>
      </c>
      <c r="B38" s="121">
        <f t="shared" si="3"/>
        <v>149</v>
      </c>
      <c r="C38" s="87" t="s">
        <v>453</v>
      </c>
      <c r="D38" s="85">
        <v>118315298</v>
      </c>
      <c r="E38" s="119">
        <f>'Student Enrollment Data'!CK40</f>
        <v>157</v>
      </c>
      <c r="F38" s="82">
        <f t="shared" si="0"/>
        <v>753600.62420382164</v>
      </c>
      <c r="G38" s="118">
        <f t="shared" si="37"/>
        <v>1.3337854067686825</v>
      </c>
      <c r="H38" s="269">
        <v>0.9047037178897317</v>
      </c>
      <c r="I38" s="269">
        <f t="shared" si="6"/>
        <v>0.9047037178897317</v>
      </c>
      <c r="J38">
        <f t="shared" si="38"/>
        <v>0</v>
      </c>
      <c r="K38">
        <f>IF(J38&gt;'Front page'!$E$21,'Front page'!$E$21,J38)+1</f>
        <v>1</v>
      </c>
      <c r="L38" s="34">
        <f t="shared" si="4"/>
        <v>1</v>
      </c>
      <c r="M38">
        <v>149</v>
      </c>
      <c r="N38" t="s">
        <v>47</v>
      </c>
      <c r="O38">
        <f t="shared" si="5"/>
        <v>1</v>
      </c>
      <c r="Q38" s="65">
        <f t="shared" ref="Q38" si="43">IF(J38=1,0,IF(J38&lt;0.1,0.1,J38*-1))</f>
        <v>0.1</v>
      </c>
      <c r="R38" s="65">
        <f t="shared" si="8"/>
        <v>0.1</v>
      </c>
      <c r="T38" s="39"/>
    </row>
    <row r="39" spans="1:20">
      <c r="A39" s="83">
        <v>150</v>
      </c>
      <c r="B39" s="121">
        <f t="shared" si="3"/>
        <v>150</v>
      </c>
      <c r="C39" s="87" t="s">
        <v>454</v>
      </c>
      <c r="D39" s="85">
        <v>680172421</v>
      </c>
      <c r="E39" s="119">
        <f>'Student Enrollment Data'!CK41</f>
        <v>851</v>
      </c>
      <c r="F39" s="82">
        <f t="shared" si="0"/>
        <v>799262.53936545237</v>
      </c>
      <c r="G39" s="118">
        <f t="shared" si="37"/>
        <v>1.4146016828327277</v>
      </c>
      <c r="H39" s="269">
        <v>1.1898686893981847</v>
      </c>
      <c r="I39" s="269">
        <f t="shared" si="6"/>
        <v>1.1898686893981847</v>
      </c>
      <c r="J39">
        <f t="shared" si="38"/>
        <v>0</v>
      </c>
      <c r="K39">
        <f>IF(J39&gt;'Front page'!$E$21,'Front page'!$E$21,J39)+1</f>
        <v>1</v>
      </c>
      <c r="L39" s="34">
        <f t="shared" si="4"/>
        <v>1</v>
      </c>
      <c r="M39">
        <v>150</v>
      </c>
      <c r="N39" t="s">
        <v>48</v>
      </c>
      <c r="O39">
        <f t="shared" si="5"/>
        <v>1</v>
      </c>
      <c r="Q39" s="65">
        <f t="shared" ref="Q39" si="44">IF(J39=1,0,IF(J39&gt;0.01,0.1,J39*-1))</f>
        <v>0</v>
      </c>
      <c r="R39" s="65">
        <f t="shared" si="8"/>
        <v>0</v>
      </c>
      <c r="T39" s="39"/>
    </row>
    <row r="40" spans="1:20">
      <c r="A40" s="83">
        <v>151</v>
      </c>
      <c r="B40" s="121">
        <f t="shared" si="3"/>
        <v>151</v>
      </c>
      <c r="C40" s="87" t="s">
        <v>455</v>
      </c>
      <c r="D40" s="85">
        <v>1523078224</v>
      </c>
      <c r="E40" s="119">
        <f>'Student Enrollment Data'!CK42</f>
        <v>5245.4730392156862</v>
      </c>
      <c r="F40" s="82">
        <f t="shared" si="0"/>
        <v>290360.50945516513</v>
      </c>
      <c r="G40" s="118">
        <f t="shared" si="37"/>
        <v>0.51390431187922492</v>
      </c>
      <c r="H40" s="269">
        <v>0.84176367458109014</v>
      </c>
      <c r="I40" s="269">
        <f t="shared" si="6"/>
        <v>0.51390431187922492</v>
      </c>
      <c r="J40">
        <f t="shared" si="38"/>
        <v>0.48609568812077508</v>
      </c>
      <c r="K40">
        <f>IF(J40&gt;'Front page'!$E$21,'Front page'!$E$21,J40)+1</f>
        <v>1.1000000000000001</v>
      </c>
      <c r="L40" s="34">
        <f t="shared" si="4"/>
        <v>1.1000000000000001</v>
      </c>
      <c r="M40">
        <v>151</v>
      </c>
      <c r="N40" t="s">
        <v>49</v>
      </c>
      <c r="O40">
        <f t="shared" si="5"/>
        <v>1.1000000000000001</v>
      </c>
      <c r="Q40" s="65">
        <f t="shared" ref="Q40" si="45">IF(J40=1,0,IF(J40&gt;0.01,0.01,J40*-1))</f>
        <v>0.01</v>
      </c>
      <c r="R40" s="65">
        <f t="shared" si="8"/>
        <v>0.01</v>
      </c>
      <c r="T40" s="39"/>
    </row>
    <row r="41" spans="1:20">
      <c r="A41" s="83">
        <v>161</v>
      </c>
      <c r="B41" s="121">
        <f t="shared" si="3"/>
        <v>161</v>
      </c>
      <c r="C41" s="87" t="s">
        <v>456</v>
      </c>
      <c r="D41" s="85">
        <v>124356141</v>
      </c>
      <c r="E41" s="119">
        <f>'Student Enrollment Data'!CK43</f>
        <v>116</v>
      </c>
      <c r="F41" s="82">
        <f t="shared" si="0"/>
        <v>1072035.698275862</v>
      </c>
      <c r="G41" s="118">
        <f t="shared" si="37"/>
        <v>1.8973784309242989</v>
      </c>
      <c r="H41" s="269">
        <v>0.94171621803763272</v>
      </c>
      <c r="I41" s="269">
        <f t="shared" si="6"/>
        <v>0.94171621803763272</v>
      </c>
      <c r="J41">
        <f t="shared" si="38"/>
        <v>0</v>
      </c>
      <c r="K41">
        <f>IF(J41&gt;'Front page'!$E$21,'Front page'!$E$21,J41)+1</f>
        <v>1</v>
      </c>
      <c r="L41" s="34">
        <f t="shared" si="4"/>
        <v>1</v>
      </c>
      <c r="M41">
        <v>161</v>
      </c>
      <c r="N41" t="s">
        <v>50</v>
      </c>
      <c r="O41">
        <f t="shared" si="5"/>
        <v>1</v>
      </c>
      <c r="Q41" s="65">
        <f t="shared" ref="Q41" si="46">IF(J41=1,0,IF(J41&lt;0.1,0.1,J41*-1))</f>
        <v>0.1</v>
      </c>
      <c r="R41" s="65">
        <f t="shared" si="8"/>
        <v>0.1</v>
      </c>
      <c r="T41" s="39"/>
    </row>
    <row r="42" spans="1:20">
      <c r="A42" s="83">
        <v>171</v>
      </c>
      <c r="B42" s="121">
        <f t="shared" si="3"/>
        <v>171</v>
      </c>
      <c r="C42" s="87" t="s">
        <v>457</v>
      </c>
      <c r="D42" s="85">
        <v>605315466</v>
      </c>
      <c r="E42" s="119">
        <f>'Student Enrollment Data'!CK44</f>
        <v>987</v>
      </c>
      <c r="F42" s="82">
        <f t="shared" si="0"/>
        <v>613288.21276595746</v>
      </c>
      <c r="G42" s="118">
        <f t="shared" si="37"/>
        <v>1.0854487669708233</v>
      </c>
      <c r="H42" s="269">
        <v>0.68113911994091647</v>
      </c>
      <c r="I42" s="269">
        <f t="shared" si="6"/>
        <v>0.68113911994091647</v>
      </c>
      <c r="J42">
        <f t="shared" si="38"/>
        <v>0</v>
      </c>
      <c r="K42">
        <f>IF(J42&gt;'Front page'!$E$21,'Front page'!$E$21,J42)+1</f>
        <v>1</v>
      </c>
      <c r="L42" s="34">
        <f t="shared" si="4"/>
        <v>1</v>
      </c>
      <c r="M42">
        <v>171</v>
      </c>
      <c r="N42" t="s">
        <v>51</v>
      </c>
      <c r="O42">
        <f t="shared" si="5"/>
        <v>1</v>
      </c>
      <c r="Q42" s="65">
        <f t="shared" ref="Q42" si="47">IF(J42=1,0,IF(J42&gt;0.01,0.1,J42*-1))</f>
        <v>0</v>
      </c>
      <c r="R42" s="65">
        <f t="shared" si="8"/>
        <v>0</v>
      </c>
      <c r="T42" s="39"/>
    </row>
    <row r="43" spans="1:20">
      <c r="A43" s="83">
        <v>181</v>
      </c>
      <c r="B43" s="121">
        <f t="shared" si="3"/>
        <v>181</v>
      </c>
      <c r="C43" s="87" t="s">
        <v>458</v>
      </c>
      <c r="D43" s="85">
        <v>598560106</v>
      </c>
      <c r="E43" s="119">
        <f>'Student Enrollment Data'!CK45</f>
        <v>337.5</v>
      </c>
      <c r="F43" s="82">
        <f t="shared" si="0"/>
        <v>1773511.4251851852</v>
      </c>
      <c r="G43" s="118">
        <f t="shared" si="37"/>
        <v>3.1389088353644339</v>
      </c>
      <c r="H43" s="269">
        <v>1.7496275749533279</v>
      </c>
      <c r="I43" s="269">
        <f t="shared" si="6"/>
        <v>1.7496275749533279</v>
      </c>
      <c r="J43">
        <f t="shared" si="38"/>
        <v>0</v>
      </c>
      <c r="K43">
        <f>IF(J43&gt;'Front page'!$E$21,'Front page'!$E$21,J43)+1</f>
        <v>1</v>
      </c>
      <c r="L43" s="34">
        <f t="shared" si="4"/>
        <v>1</v>
      </c>
      <c r="M43">
        <v>181</v>
      </c>
      <c r="N43" t="s">
        <v>52</v>
      </c>
      <c r="O43">
        <f t="shared" si="5"/>
        <v>1</v>
      </c>
      <c r="Q43" s="65">
        <f t="shared" ref="Q43" si="48">IF(J43=1,0,IF(J43&gt;0.01,0.01,J43*-1))</f>
        <v>0</v>
      </c>
      <c r="R43" s="65">
        <f t="shared" si="8"/>
        <v>0</v>
      </c>
      <c r="T43" s="39"/>
    </row>
    <row r="44" spans="1:20">
      <c r="A44" s="83">
        <v>182</v>
      </c>
      <c r="B44" s="121">
        <f t="shared" si="3"/>
        <v>182</v>
      </c>
      <c r="C44" s="87" t="s">
        <v>459</v>
      </c>
      <c r="D44" s="85">
        <v>148946868</v>
      </c>
      <c r="E44" s="119">
        <f>'Student Enrollment Data'!CK46</f>
        <v>211</v>
      </c>
      <c r="F44" s="82">
        <f t="shared" si="0"/>
        <v>705909.32701421797</v>
      </c>
      <c r="G44" s="118">
        <f t="shared" si="37"/>
        <v>1.249377360678533</v>
      </c>
      <c r="H44" s="269">
        <v>0.93051281152762866</v>
      </c>
      <c r="I44" s="269">
        <f t="shared" si="6"/>
        <v>0.93051281152762866</v>
      </c>
      <c r="J44">
        <f t="shared" si="38"/>
        <v>0</v>
      </c>
      <c r="K44">
        <f>IF(J44&gt;'Front page'!$E$21,'Front page'!$E$21,J44)+1</f>
        <v>1</v>
      </c>
      <c r="L44" s="34">
        <f t="shared" si="4"/>
        <v>1</v>
      </c>
      <c r="M44">
        <v>182</v>
      </c>
      <c r="N44" t="s">
        <v>53</v>
      </c>
      <c r="O44">
        <f t="shared" si="5"/>
        <v>1</v>
      </c>
      <c r="Q44" s="65">
        <f t="shared" ref="Q44" si="49">IF(J44=1,0,IF(J44&lt;0.1,0.1,J44*-1))</f>
        <v>0.1</v>
      </c>
      <c r="R44" s="65">
        <f t="shared" si="8"/>
        <v>0.1</v>
      </c>
      <c r="T44" s="39"/>
    </row>
    <row r="45" spans="1:20">
      <c r="A45" s="83">
        <v>191</v>
      </c>
      <c r="B45" s="121">
        <f t="shared" si="3"/>
        <v>191</v>
      </c>
      <c r="C45" s="87" t="s">
        <v>460</v>
      </c>
      <c r="D45" s="85">
        <v>12153847</v>
      </c>
      <c r="E45" s="119">
        <f>'Student Enrollment Data'!CK47</f>
        <v>2</v>
      </c>
      <c r="F45" s="82">
        <f t="shared" si="0"/>
        <v>6076923.5</v>
      </c>
      <c r="G45" s="118">
        <f t="shared" si="37"/>
        <v>10.755447410772677</v>
      </c>
      <c r="H45" s="269">
        <v>0.92504424499605298</v>
      </c>
      <c r="I45" s="269">
        <f t="shared" si="6"/>
        <v>0.92504424499605298</v>
      </c>
      <c r="J45">
        <f t="shared" si="38"/>
        <v>0</v>
      </c>
      <c r="K45">
        <f>IF(J45&gt;'Front page'!$E$21,'Front page'!$E$21,J45)+1</f>
        <v>1</v>
      </c>
      <c r="L45" s="34">
        <f t="shared" si="4"/>
        <v>1</v>
      </c>
      <c r="M45">
        <v>191</v>
      </c>
      <c r="N45" t="s">
        <v>54</v>
      </c>
      <c r="O45">
        <f t="shared" si="5"/>
        <v>1</v>
      </c>
      <c r="Q45" s="65">
        <f t="shared" ref="Q45" si="50">IF(J45=1,0,IF(J45&gt;0.01,0.1,J45*-1))</f>
        <v>0</v>
      </c>
      <c r="R45" s="65">
        <f t="shared" si="8"/>
        <v>0</v>
      </c>
      <c r="T45" s="39"/>
    </row>
    <row r="46" spans="1:20">
      <c r="A46" s="83">
        <v>192</v>
      </c>
      <c r="B46" s="121">
        <f t="shared" si="3"/>
        <v>192</v>
      </c>
      <c r="C46" s="87" t="s">
        <v>461</v>
      </c>
      <c r="D46" s="85">
        <v>334134976</v>
      </c>
      <c r="E46" s="119">
        <f>'Student Enrollment Data'!CK48</f>
        <v>383.5</v>
      </c>
      <c r="F46" s="82">
        <f t="shared" si="0"/>
        <v>871277.64276401559</v>
      </c>
      <c r="G46" s="118">
        <f t="shared" si="37"/>
        <v>1.5420600353008149</v>
      </c>
      <c r="H46" s="269">
        <v>1.0169175137754487</v>
      </c>
      <c r="I46" s="269">
        <f t="shared" si="6"/>
        <v>1.0169175137754487</v>
      </c>
      <c r="J46">
        <f t="shared" si="38"/>
        <v>0</v>
      </c>
      <c r="K46">
        <f>IF(J46&gt;'Front page'!$E$21,'Front page'!$E$21,J46)+1</f>
        <v>1</v>
      </c>
      <c r="L46" s="34">
        <f t="shared" si="4"/>
        <v>1</v>
      </c>
      <c r="M46">
        <v>192</v>
      </c>
      <c r="N46" t="s">
        <v>55</v>
      </c>
      <c r="O46">
        <f t="shared" si="5"/>
        <v>1</v>
      </c>
      <c r="Q46" s="65">
        <f t="shared" ref="Q46" si="51">IF(J46=1,0,IF(J46&gt;0.01,0.01,J46*-1))</f>
        <v>0</v>
      </c>
      <c r="R46" s="65">
        <f t="shared" si="8"/>
        <v>0</v>
      </c>
      <c r="T46" s="39"/>
    </row>
    <row r="47" spans="1:20">
      <c r="A47" s="83">
        <v>193</v>
      </c>
      <c r="B47" s="121">
        <f t="shared" si="3"/>
        <v>193</v>
      </c>
      <c r="C47" s="87" t="s">
        <v>383</v>
      </c>
      <c r="D47" s="85">
        <v>1235229711</v>
      </c>
      <c r="E47" s="119">
        <f>'Student Enrollment Data'!CK49</f>
        <v>3742.3647058823531</v>
      </c>
      <c r="F47" s="82">
        <f t="shared" si="0"/>
        <v>330066.63114859746</v>
      </c>
      <c r="G47" s="118">
        <f t="shared" si="37"/>
        <v>0.58417952659263239</v>
      </c>
      <c r="H47" s="269">
        <v>0.7565597025863805</v>
      </c>
      <c r="I47" s="269">
        <f t="shared" si="6"/>
        <v>0.58417952659263239</v>
      </c>
      <c r="J47">
        <f t="shared" si="38"/>
        <v>0.41582047340736761</v>
      </c>
      <c r="K47">
        <f>IF(J47&gt;'Front page'!$E$21,'Front page'!$E$21,J47)+1</f>
        <v>1.1000000000000001</v>
      </c>
      <c r="L47" s="34">
        <f t="shared" si="4"/>
        <v>1.1000000000000001</v>
      </c>
      <c r="M47">
        <v>193</v>
      </c>
      <c r="N47" t="s">
        <v>56</v>
      </c>
      <c r="O47">
        <f t="shared" si="5"/>
        <v>1.1000000000000001</v>
      </c>
      <c r="Q47" s="65">
        <f t="shared" ref="Q47" si="52">IF(J47=1,0,IF(J47&lt;0.1,0.1,J47*-1))</f>
        <v>-0.41582047340736761</v>
      </c>
      <c r="R47" s="65">
        <f t="shared" si="8"/>
        <v>-0.41582047340736761</v>
      </c>
      <c r="T47" s="39"/>
    </row>
    <row r="48" spans="1:20">
      <c r="A48" s="83">
        <v>201</v>
      </c>
      <c r="B48" s="121">
        <f t="shared" si="3"/>
        <v>201</v>
      </c>
      <c r="C48" s="87" t="s">
        <v>462</v>
      </c>
      <c r="D48" s="85">
        <v>575568074</v>
      </c>
      <c r="E48" s="119">
        <f>'Student Enrollment Data'!CK50</f>
        <v>2255.1142156862743</v>
      </c>
      <c r="F48" s="82">
        <f t="shared" si="0"/>
        <v>255227.90375601602</v>
      </c>
      <c r="G48" s="118">
        <f t="shared" si="37"/>
        <v>0.45172368824612985</v>
      </c>
      <c r="H48" s="269">
        <v>0.78856970722651409</v>
      </c>
      <c r="I48" s="269">
        <f t="shared" si="6"/>
        <v>0.45172368824612985</v>
      </c>
      <c r="J48">
        <f t="shared" si="38"/>
        <v>0.54827631175387015</v>
      </c>
      <c r="K48">
        <f>IF(J48&gt;'Front page'!$E$21,'Front page'!$E$21,J48)+1</f>
        <v>1.1000000000000001</v>
      </c>
      <c r="L48" s="34">
        <f t="shared" si="4"/>
        <v>1.1000000000000001</v>
      </c>
      <c r="M48">
        <v>201</v>
      </c>
      <c r="N48" t="s">
        <v>57</v>
      </c>
      <c r="O48">
        <f t="shared" si="5"/>
        <v>1.1000000000000001</v>
      </c>
      <c r="Q48" s="65">
        <f t="shared" ref="Q48" si="53">IF(J48=1,0,IF(J48&gt;0.01,0.1,J48*-1))</f>
        <v>0.1</v>
      </c>
      <c r="R48" s="65">
        <f t="shared" si="8"/>
        <v>0.1</v>
      </c>
      <c r="T48" s="39"/>
    </row>
    <row r="49" spans="1:20">
      <c r="A49" s="83">
        <v>202</v>
      </c>
      <c r="B49" s="121">
        <f t="shared" si="3"/>
        <v>202</v>
      </c>
      <c r="C49" s="87" t="s">
        <v>463</v>
      </c>
      <c r="D49" s="85">
        <v>169212467</v>
      </c>
      <c r="E49" s="119">
        <f>'Student Enrollment Data'!CK51</f>
        <v>721</v>
      </c>
      <c r="F49" s="82">
        <f t="shared" si="0"/>
        <v>234691.35506241332</v>
      </c>
      <c r="G49" s="118">
        <f t="shared" si="37"/>
        <v>0.41537638693933931</v>
      </c>
      <c r="H49" s="269">
        <v>0.76152216148675478</v>
      </c>
      <c r="I49" s="269">
        <f t="shared" si="6"/>
        <v>0.41537638693933931</v>
      </c>
      <c r="J49">
        <f t="shared" si="38"/>
        <v>0.58462361306066069</v>
      </c>
      <c r="K49">
        <f>IF(J49&gt;'Front page'!$E$21,'Front page'!$E$21,J49)+1</f>
        <v>1.1000000000000001</v>
      </c>
      <c r="L49" s="34">
        <f t="shared" si="4"/>
        <v>1.1000000000000001</v>
      </c>
      <c r="M49">
        <v>202</v>
      </c>
      <c r="N49" t="s">
        <v>58</v>
      </c>
      <c r="O49">
        <f t="shared" si="5"/>
        <v>1.1000000000000001</v>
      </c>
      <c r="Q49" s="65">
        <f t="shared" ref="Q49" si="54">IF(J49=1,0,IF(J49&gt;0.01,0.01,J49*-1))</f>
        <v>0.01</v>
      </c>
      <c r="R49" s="65">
        <f t="shared" si="8"/>
        <v>0.01</v>
      </c>
      <c r="T49" s="39"/>
    </row>
    <row r="50" spans="1:20">
      <c r="A50" s="83">
        <v>215</v>
      </c>
      <c r="B50" s="121">
        <f t="shared" si="3"/>
        <v>215</v>
      </c>
      <c r="C50" s="87" t="s">
        <v>464</v>
      </c>
      <c r="D50" s="85">
        <v>1711165656</v>
      </c>
      <c r="E50" s="119">
        <f>'Student Enrollment Data'!CK52</f>
        <v>2105</v>
      </c>
      <c r="F50" s="82">
        <f t="shared" si="0"/>
        <v>812905.2997624703</v>
      </c>
      <c r="G50" s="118">
        <f t="shared" si="37"/>
        <v>1.4387477810990459</v>
      </c>
      <c r="H50" s="269">
        <v>1.2098295784730204</v>
      </c>
      <c r="I50" s="269">
        <f t="shared" si="6"/>
        <v>1.2098295784730204</v>
      </c>
      <c r="J50">
        <f t="shared" si="38"/>
        <v>0</v>
      </c>
      <c r="K50">
        <f>IF(J50&gt;'Front page'!$E$21,'Front page'!$E$21,J50)+1</f>
        <v>1</v>
      </c>
      <c r="L50" s="34">
        <f t="shared" si="4"/>
        <v>1</v>
      </c>
      <c r="M50">
        <v>215</v>
      </c>
      <c r="N50" t="s">
        <v>59</v>
      </c>
      <c r="O50">
        <f t="shared" si="5"/>
        <v>1</v>
      </c>
      <c r="Q50" s="65">
        <f t="shared" ref="Q50" si="55">IF(J50=1,0,IF(J50&lt;0.1,0.1,J50*-1))</f>
        <v>0.1</v>
      </c>
      <c r="R50" s="65">
        <f t="shared" si="8"/>
        <v>0.1</v>
      </c>
      <c r="T50" s="39"/>
    </row>
    <row r="51" spans="1:20">
      <c r="A51" s="83">
        <v>221</v>
      </c>
      <c r="B51" s="121">
        <f t="shared" si="3"/>
        <v>221</v>
      </c>
      <c r="C51" s="84" t="s">
        <v>465</v>
      </c>
      <c r="D51" s="85">
        <v>1084168827</v>
      </c>
      <c r="E51" s="119">
        <f>'Student Enrollment Data'!CK53</f>
        <v>2333.0426470588236</v>
      </c>
      <c r="F51" s="82">
        <f t="shared" si="0"/>
        <v>464701.67545662727</v>
      </c>
      <c r="G51" s="118">
        <f t="shared" si="37"/>
        <v>0.82246788725770636</v>
      </c>
      <c r="H51" s="269">
        <v>0.81472333413943776</v>
      </c>
      <c r="I51" s="269">
        <f t="shared" si="6"/>
        <v>0.81472333413943776</v>
      </c>
      <c r="J51">
        <f t="shared" si="38"/>
        <v>0.17753211274229364</v>
      </c>
      <c r="K51">
        <f>IF(J51&gt;'Front page'!$E$21,'Front page'!$E$21,J51)+1</f>
        <v>1.1000000000000001</v>
      </c>
      <c r="L51" s="34">
        <f t="shared" si="4"/>
        <v>1.1000000000000001</v>
      </c>
      <c r="M51">
        <v>221</v>
      </c>
      <c r="N51" t="s">
        <v>60</v>
      </c>
      <c r="O51">
        <f t="shared" si="5"/>
        <v>1.1000000000000001</v>
      </c>
      <c r="Q51" s="65">
        <f t="shared" ref="Q51" si="56">IF(J51=1,0,IF(J51&gt;0.01,0.1,J51*-1))</f>
        <v>0.1</v>
      </c>
      <c r="R51" s="65">
        <f t="shared" si="8"/>
        <v>0.1</v>
      </c>
      <c r="T51" s="39"/>
    </row>
    <row r="52" spans="1:20">
      <c r="A52" s="83">
        <v>231</v>
      </c>
      <c r="B52" s="121">
        <f t="shared" si="3"/>
        <v>231</v>
      </c>
      <c r="C52" s="88" t="s">
        <v>466</v>
      </c>
      <c r="D52" s="85">
        <v>511310673</v>
      </c>
      <c r="E52" s="119">
        <f>'Student Enrollment Data'!CK54</f>
        <v>1306.5</v>
      </c>
      <c r="F52" s="82">
        <f t="shared" si="0"/>
        <v>391359.10677382321</v>
      </c>
      <c r="G52" s="118">
        <f t="shared" si="37"/>
        <v>0.69266007571640886</v>
      </c>
      <c r="H52" s="269">
        <v>1.0227847274588786</v>
      </c>
      <c r="I52" s="269">
        <f t="shared" si="6"/>
        <v>0.69266007571640886</v>
      </c>
      <c r="J52">
        <f t="shared" si="38"/>
        <v>0.30733992428359114</v>
      </c>
      <c r="K52">
        <f>IF(J52&gt;'Front page'!$E$21,'Front page'!$E$21,J52)+1</f>
        <v>1.1000000000000001</v>
      </c>
      <c r="L52" s="34">
        <f t="shared" si="4"/>
        <v>1.1000000000000001</v>
      </c>
      <c r="M52">
        <v>231</v>
      </c>
      <c r="N52" t="s">
        <v>61</v>
      </c>
      <c r="O52">
        <f t="shared" si="5"/>
        <v>1.1000000000000001</v>
      </c>
      <c r="Q52" s="65">
        <f t="shared" ref="Q52" si="57">IF(J52=1,0,IF(J52&gt;0.01,0.01,J52*-1))</f>
        <v>0.01</v>
      </c>
      <c r="R52" s="65">
        <f t="shared" si="8"/>
        <v>0.01</v>
      </c>
      <c r="T52" s="39"/>
    </row>
    <row r="53" spans="1:20">
      <c r="A53" s="83">
        <v>232</v>
      </c>
      <c r="B53" s="121">
        <f t="shared" si="3"/>
        <v>232</v>
      </c>
      <c r="C53" s="88" t="s">
        <v>467</v>
      </c>
      <c r="D53" s="85">
        <v>340819328</v>
      </c>
      <c r="E53" s="119">
        <f>'Student Enrollment Data'!CK55</f>
        <v>1023</v>
      </c>
      <c r="F53" s="82">
        <f t="shared" si="0"/>
        <v>333156.72336265887</v>
      </c>
      <c r="G53" s="118">
        <f t="shared" si="37"/>
        <v>0.58964863021106295</v>
      </c>
      <c r="H53" s="269">
        <v>0.92794831971264702</v>
      </c>
      <c r="I53" s="269">
        <f t="shared" si="6"/>
        <v>0.58964863021106295</v>
      </c>
      <c r="J53">
        <f t="shared" si="38"/>
        <v>0.41035136978893705</v>
      </c>
      <c r="K53">
        <f>IF(J53&gt;'Front page'!$E$21,'Front page'!$E$21,J53)+1</f>
        <v>1.1000000000000001</v>
      </c>
      <c r="L53" s="34">
        <f t="shared" si="4"/>
        <v>1.1000000000000001</v>
      </c>
      <c r="M53">
        <v>232</v>
      </c>
      <c r="N53" t="s">
        <v>62</v>
      </c>
      <c r="O53">
        <f t="shared" si="5"/>
        <v>1.1000000000000001</v>
      </c>
      <c r="Q53" s="65">
        <f t="shared" ref="Q53" si="58">IF(J53=1,0,IF(J53&lt;0.1,0.1,J53*-1))</f>
        <v>-0.41035136978893705</v>
      </c>
      <c r="R53" s="65">
        <f t="shared" si="8"/>
        <v>-0.41035136978893705</v>
      </c>
      <c r="T53" s="39"/>
    </row>
    <row r="54" spans="1:20">
      <c r="A54" s="83">
        <v>233</v>
      </c>
      <c r="B54" s="121">
        <f t="shared" si="3"/>
        <v>233</v>
      </c>
      <c r="C54" s="87" t="s">
        <v>468</v>
      </c>
      <c r="D54" s="85">
        <v>190538609</v>
      </c>
      <c r="E54" s="119">
        <f>'Student Enrollment Data'!CK56</f>
        <v>280.5</v>
      </c>
      <c r="F54" s="82">
        <f t="shared" si="0"/>
        <v>679282.02852049912</v>
      </c>
      <c r="G54" s="118">
        <f t="shared" si="37"/>
        <v>1.2022501410187596</v>
      </c>
      <c r="H54" s="269">
        <v>1.0763903541755437</v>
      </c>
      <c r="I54" s="269">
        <f t="shared" si="6"/>
        <v>1.0763903541755437</v>
      </c>
      <c r="J54">
        <f t="shared" si="38"/>
        <v>0</v>
      </c>
      <c r="K54">
        <f>IF(J54&gt;'Front page'!$E$21,'Front page'!$E$21,J54)+1</f>
        <v>1</v>
      </c>
      <c r="L54" s="34">
        <f t="shared" si="4"/>
        <v>1</v>
      </c>
      <c r="M54">
        <v>233</v>
      </c>
      <c r="N54" t="s">
        <v>63</v>
      </c>
      <c r="O54">
        <f t="shared" si="5"/>
        <v>1</v>
      </c>
      <c r="Q54" s="65">
        <f t="shared" ref="Q54" si="59">IF(J54=1,0,IF(J54&gt;0.01,0.1,J54*-1))</f>
        <v>0</v>
      </c>
      <c r="R54" s="65">
        <f t="shared" si="8"/>
        <v>0</v>
      </c>
      <c r="T54" s="39"/>
    </row>
    <row r="55" spans="1:20">
      <c r="A55" s="83">
        <v>234</v>
      </c>
      <c r="B55" s="121">
        <f t="shared" si="3"/>
        <v>234</v>
      </c>
      <c r="C55" s="87" t="s">
        <v>469</v>
      </c>
      <c r="D55" s="85">
        <v>99305075</v>
      </c>
      <c r="E55" s="119">
        <f>'Student Enrollment Data'!CK57</f>
        <v>133</v>
      </c>
      <c r="F55" s="82">
        <f t="shared" si="0"/>
        <v>746654.69924812031</v>
      </c>
      <c r="G55" s="118">
        <f t="shared" si="37"/>
        <v>1.3214919279088253</v>
      </c>
      <c r="H55" s="269">
        <v>1.0140614434916202</v>
      </c>
      <c r="I55" s="269">
        <f t="shared" si="6"/>
        <v>1.0140614434916202</v>
      </c>
      <c r="J55">
        <f t="shared" si="38"/>
        <v>0</v>
      </c>
      <c r="K55">
        <f>IF(J55&gt;'Front page'!$E$21,'Front page'!$E$21,J55)+1</f>
        <v>1</v>
      </c>
      <c r="L55" s="34">
        <f t="shared" si="4"/>
        <v>1</v>
      </c>
      <c r="M55">
        <v>234</v>
      </c>
      <c r="N55" t="s">
        <v>64</v>
      </c>
      <c r="O55">
        <f t="shared" si="5"/>
        <v>1</v>
      </c>
      <c r="Q55" s="65">
        <f t="shared" ref="Q55" si="60">IF(J55=1,0,IF(J55&gt;0.01,0.01,J55*-1))</f>
        <v>0</v>
      </c>
      <c r="R55" s="65">
        <f t="shared" si="8"/>
        <v>0</v>
      </c>
      <c r="T55" s="39"/>
    </row>
    <row r="56" spans="1:20">
      <c r="A56" s="83">
        <v>242</v>
      </c>
      <c r="B56" s="121">
        <f t="shared" si="3"/>
        <v>242</v>
      </c>
      <c r="C56" s="87" t="s">
        <v>470</v>
      </c>
      <c r="D56" s="85">
        <v>159511780</v>
      </c>
      <c r="E56" s="119">
        <f>'Student Enrollment Data'!CK58</f>
        <v>369</v>
      </c>
      <c r="F56" s="82">
        <f t="shared" si="0"/>
        <v>432281.24661246612</v>
      </c>
      <c r="G56" s="118">
        <f t="shared" si="37"/>
        <v>0.76508750103627821</v>
      </c>
      <c r="H56" s="269">
        <v>0.67637095416451976</v>
      </c>
      <c r="I56" s="269">
        <f t="shared" si="6"/>
        <v>0.67637095416451976</v>
      </c>
      <c r="J56">
        <f t="shared" si="38"/>
        <v>0.23491249896372179</v>
      </c>
      <c r="K56">
        <f>IF(J56&gt;'Front page'!$E$21,'Front page'!$E$21,J56)+1</f>
        <v>1.1000000000000001</v>
      </c>
      <c r="L56" s="34">
        <f t="shared" si="4"/>
        <v>1.1000000000000001</v>
      </c>
      <c r="M56">
        <v>242</v>
      </c>
      <c r="N56" t="s">
        <v>65</v>
      </c>
      <c r="O56">
        <f t="shared" si="5"/>
        <v>1.1000000000000001</v>
      </c>
      <c r="Q56" s="65">
        <f t="shared" ref="Q56" si="61">IF(J56=1,0,IF(J56&lt;0.1,0.1,J56*-1))</f>
        <v>-0.23491249896372179</v>
      </c>
      <c r="R56" s="65">
        <f t="shared" si="8"/>
        <v>-0.23491249896372179</v>
      </c>
      <c r="T56" s="39"/>
    </row>
    <row r="57" spans="1:20">
      <c r="A57" s="83">
        <v>243</v>
      </c>
      <c r="B57" s="121">
        <f t="shared" si="3"/>
        <v>243</v>
      </c>
      <c r="C57" s="87" t="s">
        <v>471</v>
      </c>
      <c r="D57" s="85">
        <v>137296302</v>
      </c>
      <c r="E57" s="119">
        <f>'Student Enrollment Data'!CK59</f>
        <v>114.5</v>
      </c>
      <c r="F57" s="82">
        <f t="shared" si="0"/>
        <v>1199094.3406113537</v>
      </c>
      <c r="G57" s="118">
        <f t="shared" si="37"/>
        <v>2.1222574417796363</v>
      </c>
      <c r="H57" s="269">
        <v>0.91837890605964978</v>
      </c>
      <c r="I57" s="269">
        <f t="shared" si="6"/>
        <v>0.91837890605964978</v>
      </c>
      <c r="J57">
        <f t="shared" si="38"/>
        <v>0</v>
      </c>
      <c r="K57">
        <f>IF(J57&gt;'Front page'!$E$21,'Front page'!$E$21,J57)+1</f>
        <v>1</v>
      </c>
      <c r="L57" s="34">
        <f t="shared" si="4"/>
        <v>1</v>
      </c>
      <c r="M57">
        <v>243</v>
      </c>
      <c r="N57" t="s">
        <v>66</v>
      </c>
      <c r="O57">
        <f t="shared" si="5"/>
        <v>1</v>
      </c>
      <c r="Q57" s="65">
        <f t="shared" ref="Q57" si="62">IF(J57=1,0,IF(J57&gt;0.01,0.1,J57*-1))</f>
        <v>0</v>
      </c>
      <c r="R57" s="65">
        <f t="shared" si="8"/>
        <v>0</v>
      </c>
      <c r="T57" s="39"/>
    </row>
    <row r="58" spans="1:20">
      <c r="A58" s="83">
        <v>244</v>
      </c>
      <c r="B58" s="121">
        <f t="shared" si="3"/>
        <v>244</v>
      </c>
      <c r="C58" s="87" t="s">
        <v>391</v>
      </c>
      <c r="D58" s="85">
        <v>863312074</v>
      </c>
      <c r="E58" s="119">
        <f>'Student Enrollment Data'!CK60</f>
        <v>1200</v>
      </c>
      <c r="F58" s="82">
        <f t="shared" si="0"/>
        <v>719426.72833333339</v>
      </c>
      <c r="G58" s="118">
        <f t="shared" si="37"/>
        <v>1.2733015879652605</v>
      </c>
      <c r="H58" s="269">
        <v>0.96429277873175601</v>
      </c>
      <c r="I58" s="269">
        <f t="shared" si="6"/>
        <v>0.96429277873175601</v>
      </c>
      <c r="J58">
        <f t="shared" si="38"/>
        <v>0</v>
      </c>
      <c r="K58">
        <f>IF(J58&gt;'Front page'!$E$21,'Front page'!$E$21,J58)+1</f>
        <v>1</v>
      </c>
      <c r="L58" s="34">
        <f t="shared" si="4"/>
        <v>1</v>
      </c>
      <c r="M58">
        <v>244</v>
      </c>
      <c r="N58" t="s">
        <v>67</v>
      </c>
      <c r="O58">
        <f t="shared" si="5"/>
        <v>1</v>
      </c>
      <c r="Q58" s="65">
        <f t="shared" ref="Q58" si="63">IF(J58=1,0,IF(J58&gt;0.01,0.01,J58*-1))</f>
        <v>0</v>
      </c>
      <c r="R58" s="65">
        <f t="shared" si="8"/>
        <v>0</v>
      </c>
      <c r="T58" s="39"/>
    </row>
    <row r="59" spans="1:20">
      <c r="A59" s="83">
        <v>251</v>
      </c>
      <c r="B59" s="121">
        <f t="shared" si="3"/>
        <v>251</v>
      </c>
      <c r="C59" s="84" t="s">
        <v>472</v>
      </c>
      <c r="D59" s="85">
        <v>1212680479</v>
      </c>
      <c r="E59" s="119">
        <f>'Student Enrollment Data'!CK61</f>
        <v>5835.2720588235297</v>
      </c>
      <c r="F59" s="82">
        <f t="shared" si="0"/>
        <v>207819.01285413123</v>
      </c>
      <c r="G59" s="118">
        <f t="shared" si="37"/>
        <v>0.36781546842103563</v>
      </c>
      <c r="H59" s="269">
        <v>0.7122727326024505</v>
      </c>
      <c r="I59" s="269">
        <f t="shared" si="6"/>
        <v>0.36781546842103563</v>
      </c>
      <c r="J59">
        <f t="shared" si="38"/>
        <v>0.63218453157896437</v>
      </c>
      <c r="K59">
        <f>IF(J59&gt;'Front page'!$E$21,'Front page'!$E$21,J59)+1</f>
        <v>1.1000000000000001</v>
      </c>
      <c r="L59" s="34">
        <f t="shared" si="4"/>
        <v>1.1000000000000001</v>
      </c>
      <c r="M59">
        <v>251</v>
      </c>
      <c r="N59" t="s">
        <v>68</v>
      </c>
      <c r="O59">
        <f t="shared" si="5"/>
        <v>1.1000000000000001</v>
      </c>
      <c r="Q59" s="65">
        <f t="shared" ref="Q59" si="64">IF(J59=1,0,IF(J59&lt;0.1,0.1,J59*-1))</f>
        <v>-0.63218453157896437</v>
      </c>
      <c r="R59" s="65">
        <f t="shared" si="8"/>
        <v>-0.63218453157896437</v>
      </c>
      <c r="T59" s="39"/>
    </row>
    <row r="60" spans="1:20">
      <c r="A60" s="83">
        <v>252</v>
      </c>
      <c r="B60" s="121">
        <f t="shared" si="3"/>
        <v>252</v>
      </c>
      <c r="C60" s="87" t="s">
        <v>473</v>
      </c>
      <c r="D60" s="85">
        <v>171676898</v>
      </c>
      <c r="E60" s="119">
        <f>'Student Enrollment Data'!CK62</f>
        <v>675.5</v>
      </c>
      <c r="F60" s="82">
        <f t="shared" si="0"/>
        <v>254147.88749074758</v>
      </c>
      <c r="G60" s="118">
        <f t="shared" si="37"/>
        <v>0.44981218514034388</v>
      </c>
      <c r="H60" s="269">
        <v>0.70854483003926516</v>
      </c>
      <c r="I60" s="269">
        <f t="shared" si="6"/>
        <v>0.44981218514034388</v>
      </c>
      <c r="J60">
        <f t="shared" si="38"/>
        <v>0.55018781485965618</v>
      </c>
      <c r="K60">
        <f>IF(J60&gt;'Front page'!$E$21,'Front page'!$E$21,J60)+1</f>
        <v>1.1000000000000001</v>
      </c>
      <c r="L60" s="34">
        <f t="shared" si="4"/>
        <v>1.1000000000000001</v>
      </c>
      <c r="M60">
        <v>252</v>
      </c>
      <c r="N60" t="s">
        <v>69</v>
      </c>
      <c r="O60">
        <f t="shared" si="5"/>
        <v>1.1000000000000001</v>
      </c>
      <c r="Q60" s="65">
        <f t="shared" ref="Q60" si="65">IF(J60=1,0,IF(J60&gt;0.01,0.1,J60*-1))</f>
        <v>0.1</v>
      </c>
      <c r="R60" s="65">
        <f t="shared" si="8"/>
        <v>0.1</v>
      </c>
      <c r="T60" s="39"/>
    </row>
    <row r="61" spans="1:20">
      <c r="A61" s="83">
        <v>253</v>
      </c>
      <c r="B61" s="121">
        <f t="shared" si="3"/>
        <v>253</v>
      </c>
      <c r="C61" s="87" t="s">
        <v>395</v>
      </c>
      <c r="D61" s="85">
        <v>227900013</v>
      </c>
      <c r="E61" s="119">
        <f>'Student Enrollment Data'!CK63</f>
        <v>576</v>
      </c>
      <c r="F61" s="82">
        <f t="shared" si="0"/>
        <v>395659.74479166669</v>
      </c>
      <c r="G61" s="118">
        <f t="shared" si="37"/>
        <v>0.70027170453380061</v>
      </c>
      <c r="H61" s="269">
        <v>0.81792454487685351</v>
      </c>
      <c r="I61" s="269">
        <f t="shared" si="6"/>
        <v>0.70027170453380061</v>
      </c>
      <c r="J61">
        <f t="shared" si="38"/>
        <v>0.29972829546619939</v>
      </c>
      <c r="K61">
        <f>IF(J61&gt;'Front page'!$E$21,'Front page'!$E$21,J61)+1</f>
        <v>1.1000000000000001</v>
      </c>
      <c r="L61" s="34">
        <f t="shared" si="4"/>
        <v>1.1000000000000001</v>
      </c>
      <c r="M61">
        <v>253</v>
      </c>
      <c r="N61" t="s">
        <v>70</v>
      </c>
      <c r="O61">
        <f t="shared" si="5"/>
        <v>1.1000000000000001</v>
      </c>
      <c r="Q61" s="65">
        <f t="shared" ref="Q61" si="66">IF(J61=1,0,IF(J61&gt;0.01,0.01,J61*-1))</f>
        <v>0.01</v>
      </c>
      <c r="R61" s="65">
        <f t="shared" si="8"/>
        <v>0.01</v>
      </c>
      <c r="T61" s="39"/>
    </row>
    <row r="62" spans="1:20">
      <c r="A62" s="83">
        <v>261</v>
      </c>
      <c r="B62" s="121">
        <f t="shared" si="3"/>
        <v>261</v>
      </c>
      <c r="C62" s="84" t="s">
        <v>474</v>
      </c>
      <c r="D62" s="85">
        <v>1228350180</v>
      </c>
      <c r="E62" s="119">
        <f>'Student Enrollment Data'!CK64</f>
        <v>3890.1860294117646</v>
      </c>
      <c r="F62" s="82">
        <f t="shared" si="0"/>
        <v>315756.15425921907</v>
      </c>
      <c r="G62" s="118">
        <f t="shared" si="37"/>
        <v>0.55885164783839314</v>
      </c>
      <c r="H62" s="269">
        <v>0.81614181347019943</v>
      </c>
      <c r="I62" s="269">
        <f t="shared" si="6"/>
        <v>0.55885164783839314</v>
      </c>
      <c r="J62">
        <f t="shared" si="38"/>
        <v>0.44114835216160686</v>
      </c>
      <c r="K62">
        <f>IF(J62&gt;'Front page'!$E$21,'Front page'!$E$21,J62)+1</f>
        <v>1.1000000000000001</v>
      </c>
      <c r="L62" s="34">
        <f t="shared" si="4"/>
        <v>1.1000000000000001</v>
      </c>
      <c r="M62">
        <v>261</v>
      </c>
      <c r="N62" t="s">
        <v>71</v>
      </c>
      <c r="O62">
        <f t="shared" si="5"/>
        <v>1.1000000000000001</v>
      </c>
      <c r="Q62" s="65">
        <f t="shared" ref="Q62" si="67">IF(J62=1,0,IF(J62&lt;0.1,0.1,J62*-1))</f>
        <v>-0.44114835216160686</v>
      </c>
      <c r="R62" s="65">
        <f t="shared" si="8"/>
        <v>-0.44114835216160686</v>
      </c>
      <c r="T62" s="39"/>
    </row>
    <row r="63" spans="1:20">
      <c r="A63" s="83">
        <v>262</v>
      </c>
      <c r="B63" s="121">
        <f t="shared" si="3"/>
        <v>262</v>
      </c>
      <c r="C63" s="87" t="s">
        <v>475</v>
      </c>
      <c r="D63" s="85">
        <v>248248384</v>
      </c>
      <c r="E63" s="119">
        <f>'Student Enrollment Data'!CK65</f>
        <v>574.5</v>
      </c>
      <c r="F63" s="82">
        <f t="shared" si="0"/>
        <v>432112.06962576153</v>
      </c>
      <c r="G63" s="118">
        <f t="shared" si="37"/>
        <v>0.76478807745728894</v>
      </c>
      <c r="H63" s="269">
        <v>0.85498871238568763</v>
      </c>
      <c r="I63" s="269">
        <f t="shared" si="6"/>
        <v>0.76478807745728894</v>
      </c>
      <c r="J63">
        <f t="shared" si="38"/>
        <v>0.23521192254271106</v>
      </c>
      <c r="K63">
        <f>IF(J63&gt;'Front page'!$E$21,'Front page'!$E$21,J63)+1</f>
        <v>1.1000000000000001</v>
      </c>
      <c r="L63" s="34">
        <f t="shared" si="4"/>
        <v>1.1000000000000001</v>
      </c>
      <c r="M63">
        <v>262</v>
      </c>
      <c r="N63" t="s">
        <v>72</v>
      </c>
      <c r="O63">
        <f t="shared" si="5"/>
        <v>1.1000000000000001</v>
      </c>
      <c r="Q63" s="65">
        <f t="shared" ref="Q63" si="68">IF(J63=1,0,IF(J63&gt;0.01,0.1,J63*-1))</f>
        <v>0.1</v>
      </c>
      <c r="R63" s="65">
        <f t="shared" si="8"/>
        <v>0.1</v>
      </c>
      <c r="T63" s="39"/>
    </row>
    <row r="64" spans="1:20">
      <c r="A64" s="83">
        <v>271</v>
      </c>
      <c r="B64" s="121">
        <f t="shared" si="3"/>
        <v>271</v>
      </c>
      <c r="C64" s="87" t="s">
        <v>476</v>
      </c>
      <c r="D64" s="85">
        <v>9914094033</v>
      </c>
      <c r="E64" s="119">
        <f>'Student Enrollment Data'!CK66</f>
        <v>10394.551694677872</v>
      </c>
      <c r="F64" s="82">
        <f t="shared" si="0"/>
        <v>953777.93330674653</v>
      </c>
      <c r="G64" s="118">
        <f t="shared" si="37"/>
        <v>1.6880759488310428</v>
      </c>
      <c r="H64" s="269">
        <v>1.3427618845894091</v>
      </c>
      <c r="I64" s="269">
        <f t="shared" si="6"/>
        <v>1.3427618845894091</v>
      </c>
      <c r="J64">
        <f t="shared" si="38"/>
        <v>0</v>
      </c>
      <c r="K64">
        <f>IF(J64&gt;'Front page'!$E$21,'Front page'!$E$21,J64)+1</f>
        <v>1</v>
      </c>
      <c r="L64" s="34">
        <f t="shared" si="4"/>
        <v>1</v>
      </c>
      <c r="M64">
        <v>271</v>
      </c>
      <c r="N64" t="s">
        <v>73</v>
      </c>
      <c r="O64">
        <f t="shared" si="5"/>
        <v>1</v>
      </c>
      <c r="Q64" s="65">
        <f t="shared" ref="Q64" si="69">IF(J64=1,0,IF(J64&gt;0.01,0.01,J64*-1))</f>
        <v>0</v>
      </c>
      <c r="R64" s="65">
        <f t="shared" si="8"/>
        <v>0</v>
      </c>
      <c r="T64" s="39"/>
    </row>
    <row r="65" spans="1:20">
      <c r="A65" s="83">
        <v>272</v>
      </c>
      <c r="B65" s="121">
        <f t="shared" si="3"/>
        <v>272</v>
      </c>
      <c r="C65" s="87" t="s">
        <v>477</v>
      </c>
      <c r="D65" s="85">
        <v>3117652865</v>
      </c>
      <c r="E65" s="119">
        <f>'Student Enrollment Data'!CK67</f>
        <v>4306.0808823529414</v>
      </c>
      <c r="F65" s="82">
        <f t="shared" si="0"/>
        <v>724011.68258977123</v>
      </c>
      <c r="G65" s="118">
        <f t="shared" si="37"/>
        <v>1.2814164234384922</v>
      </c>
      <c r="H65" s="269">
        <v>1.1027467750249906</v>
      </c>
      <c r="I65" s="269">
        <f t="shared" si="6"/>
        <v>1.1027467750249906</v>
      </c>
      <c r="J65">
        <f t="shared" si="38"/>
        <v>0</v>
      </c>
      <c r="K65">
        <f>IF(J65&gt;'Front page'!$E$21,'Front page'!$E$21,J65)+1</f>
        <v>1</v>
      </c>
      <c r="L65" s="34">
        <f t="shared" si="4"/>
        <v>1</v>
      </c>
      <c r="M65">
        <v>272</v>
      </c>
      <c r="N65" t="s">
        <v>74</v>
      </c>
      <c r="O65">
        <f t="shared" si="5"/>
        <v>1</v>
      </c>
      <c r="Q65" s="65">
        <f t="shared" ref="Q65" si="70">IF(J65=1,0,IF(J65&lt;0.1,0.1,J65*-1))</f>
        <v>0.1</v>
      </c>
      <c r="R65" s="65">
        <f t="shared" si="8"/>
        <v>0.1</v>
      </c>
      <c r="T65" s="39"/>
    </row>
    <row r="66" spans="1:20">
      <c r="A66" s="83">
        <v>273</v>
      </c>
      <c r="B66" s="121">
        <f t="shared" si="3"/>
        <v>273</v>
      </c>
      <c r="C66" s="87" t="s">
        <v>478</v>
      </c>
      <c r="D66" s="85">
        <v>3125801153</v>
      </c>
      <c r="E66" s="119">
        <f>'Student Enrollment Data'!CK68</f>
        <v>5814.4031960784314</v>
      </c>
      <c r="F66" s="82">
        <f t="shared" ref="F66:F116" si="71">SUM(D66/E66)</f>
        <v>537596.21539631451</v>
      </c>
      <c r="G66" s="118">
        <f t="shared" ref="G66:G97" si="72">SUM(F66/$F$118)</f>
        <v>0.95148274006172384</v>
      </c>
      <c r="H66" s="269">
        <v>0.94507266821285774</v>
      </c>
      <c r="I66" s="269">
        <f t="shared" si="6"/>
        <v>0.94507266821285774</v>
      </c>
      <c r="J66">
        <f t="shared" ref="J66:J97" si="73">IF(G66&gt;1,0,G66-1)*-1</f>
        <v>4.8517259938276158E-2</v>
      </c>
      <c r="K66">
        <f>IF(J66&gt;'Front page'!$E$21,'Front page'!$E$21,J66)+1</f>
        <v>1.0485172599382762</v>
      </c>
      <c r="L66" s="34">
        <f t="shared" si="4"/>
        <v>1.0485172599382762</v>
      </c>
      <c r="M66">
        <v>273</v>
      </c>
      <c r="N66" t="s">
        <v>75</v>
      </c>
      <c r="O66">
        <f t="shared" si="5"/>
        <v>1.0485172599382762</v>
      </c>
      <c r="Q66" s="65">
        <f t="shared" ref="Q66" si="74">IF(J66=1,0,IF(J66&gt;0.01,0.1,J66*-1))</f>
        <v>0.1</v>
      </c>
      <c r="R66" s="65">
        <f t="shared" si="8"/>
        <v>0.1</v>
      </c>
      <c r="T66" s="39"/>
    </row>
    <row r="67" spans="1:20">
      <c r="A67" s="83">
        <v>274</v>
      </c>
      <c r="B67" s="121">
        <f t="shared" ref="B67:B116" si="75">A67*1</f>
        <v>274</v>
      </c>
      <c r="C67" s="84" t="s">
        <v>479</v>
      </c>
      <c r="D67" s="85">
        <v>629314432</v>
      </c>
      <c r="E67" s="119">
        <f>'Student Enrollment Data'!CK69</f>
        <v>135.5</v>
      </c>
      <c r="F67" s="82">
        <f t="shared" si="71"/>
        <v>4644386.9520295206</v>
      </c>
      <c r="G67" s="118">
        <f t="shared" si="72"/>
        <v>8.2200244281226027</v>
      </c>
      <c r="H67" s="269">
        <v>2.6937198643005127</v>
      </c>
      <c r="I67" s="269">
        <f t="shared" si="6"/>
        <v>2.6937198643005127</v>
      </c>
      <c r="J67">
        <f t="shared" si="73"/>
        <v>0</v>
      </c>
      <c r="K67">
        <f>IF(J67&gt;'Front page'!$E$21,'Front page'!$E$21,J67)+1</f>
        <v>1</v>
      </c>
      <c r="L67" s="34">
        <f t="shared" ref="L67:L116" si="76">SUM(K67)</f>
        <v>1</v>
      </c>
      <c r="M67">
        <v>274</v>
      </c>
      <c r="N67" t="s">
        <v>76</v>
      </c>
      <c r="O67">
        <f t="shared" ref="O67:O116" si="77">SUM(K67)</f>
        <v>1</v>
      </c>
      <c r="Q67" s="65">
        <f t="shared" ref="Q67" si="78">IF(J67=1,0,IF(J67&gt;0.01,0.01,J67*-1))</f>
        <v>0</v>
      </c>
      <c r="R67" s="65">
        <f t="shared" si="8"/>
        <v>0</v>
      </c>
      <c r="T67" s="39"/>
    </row>
    <row r="68" spans="1:20">
      <c r="A68" s="83">
        <v>281</v>
      </c>
      <c r="B68" s="121">
        <f t="shared" si="75"/>
        <v>281</v>
      </c>
      <c r="C68" s="87" t="s">
        <v>480</v>
      </c>
      <c r="D68" s="85">
        <v>1595319235</v>
      </c>
      <c r="E68" s="119">
        <f>'Student Enrollment Data'!CK70</f>
        <v>2245</v>
      </c>
      <c r="F68" s="82">
        <f t="shared" si="71"/>
        <v>710609.90423162584</v>
      </c>
      <c r="G68" s="118">
        <f t="shared" si="72"/>
        <v>1.2576968353373972</v>
      </c>
      <c r="H68" s="269">
        <v>1.1931630937816295</v>
      </c>
      <c r="I68" s="269">
        <f t="shared" ref="I68:I116" si="79">MIN(G68,H68)</f>
        <v>1.1931630937816295</v>
      </c>
      <c r="J68">
        <f t="shared" si="73"/>
        <v>0</v>
      </c>
      <c r="K68">
        <f>IF(J68&gt;'Front page'!$E$21,'Front page'!$E$21,J68)+1</f>
        <v>1</v>
      </c>
      <c r="L68" s="34">
        <f t="shared" si="76"/>
        <v>1</v>
      </c>
      <c r="M68">
        <v>281</v>
      </c>
      <c r="N68" t="s">
        <v>77</v>
      </c>
      <c r="O68">
        <f t="shared" si="77"/>
        <v>1</v>
      </c>
      <c r="Q68" s="65">
        <f t="shared" ref="Q68" si="80">IF(J68=1,0,IF(J68&lt;0.1,0.1,J68*-1))</f>
        <v>0.1</v>
      </c>
      <c r="R68" s="65">
        <f t="shared" si="8"/>
        <v>0.1</v>
      </c>
      <c r="T68" s="39"/>
    </row>
    <row r="69" spans="1:20">
      <c r="A69" s="83">
        <v>282</v>
      </c>
      <c r="B69" s="121">
        <f t="shared" si="75"/>
        <v>282</v>
      </c>
      <c r="C69" s="87" t="s">
        <v>481</v>
      </c>
      <c r="D69" s="85">
        <v>187560782</v>
      </c>
      <c r="E69" s="119">
        <f>'Student Enrollment Data'!CK71</f>
        <v>282</v>
      </c>
      <c r="F69" s="82">
        <f t="shared" si="71"/>
        <v>665109.15602836874</v>
      </c>
      <c r="G69" s="118">
        <f t="shared" si="72"/>
        <v>1.1771658060343393</v>
      </c>
      <c r="H69" s="269">
        <v>0.97231139297188462</v>
      </c>
      <c r="I69" s="269">
        <f t="shared" si="79"/>
        <v>0.97231139297188462</v>
      </c>
      <c r="J69">
        <f t="shared" si="73"/>
        <v>0</v>
      </c>
      <c r="K69">
        <f>IF(J69&gt;'Front page'!$E$21,'Front page'!$E$21,J69)+1</f>
        <v>1</v>
      </c>
      <c r="L69" s="34">
        <f t="shared" si="76"/>
        <v>1</v>
      </c>
      <c r="M69">
        <v>282</v>
      </c>
      <c r="N69" t="s">
        <v>78</v>
      </c>
      <c r="O69">
        <f t="shared" si="77"/>
        <v>1</v>
      </c>
      <c r="Q69" s="65">
        <f t="shared" ref="Q69" si="81">IF(J69=1,0,IF(J69&gt;0.01,0.1,J69*-1))</f>
        <v>0</v>
      </c>
      <c r="R69" s="65">
        <f t="shared" ref="R69:R116" si="82">IF(Q69&gt;10%,10%,Q69)</f>
        <v>0</v>
      </c>
      <c r="T69" s="39"/>
    </row>
    <row r="70" spans="1:20">
      <c r="A70" s="83">
        <v>283</v>
      </c>
      <c r="B70" s="121">
        <f t="shared" si="75"/>
        <v>283</v>
      </c>
      <c r="C70" s="87" t="s">
        <v>482</v>
      </c>
      <c r="D70" s="85">
        <v>138046657</v>
      </c>
      <c r="E70" s="119">
        <f>'Student Enrollment Data'!CK72</f>
        <v>225</v>
      </c>
      <c r="F70" s="82">
        <f t="shared" si="71"/>
        <v>613540.69777777779</v>
      </c>
      <c r="G70" s="118">
        <f t="shared" si="72"/>
        <v>1.0858956360595393</v>
      </c>
      <c r="H70" s="269">
        <v>0.94901498832947795</v>
      </c>
      <c r="I70" s="269">
        <f t="shared" si="79"/>
        <v>0.94901498832947795</v>
      </c>
      <c r="J70">
        <f t="shared" si="73"/>
        <v>0</v>
      </c>
      <c r="K70">
        <f>IF(J70&gt;'Front page'!$E$21,'Front page'!$E$21,J70)+1</f>
        <v>1</v>
      </c>
      <c r="L70" s="34">
        <f t="shared" si="76"/>
        <v>1</v>
      </c>
      <c r="M70">
        <v>283</v>
      </c>
      <c r="N70" t="s">
        <v>79</v>
      </c>
      <c r="O70">
        <f t="shared" si="77"/>
        <v>1</v>
      </c>
      <c r="Q70" s="65">
        <f t="shared" ref="Q70" si="83">IF(J70=1,0,IF(J70&gt;0.01,0.01,J70*-1))</f>
        <v>0</v>
      </c>
      <c r="R70" s="65">
        <f t="shared" si="82"/>
        <v>0</v>
      </c>
      <c r="T70" s="39"/>
    </row>
    <row r="71" spans="1:20">
      <c r="A71" s="83">
        <v>285</v>
      </c>
      <c r="B71" s="121">
        <f t="shared" si="75"/>
        <v>285</v>
      </c>
      <c r="C71" s="87" t="s">
        <v>483</v>
      </c>
      <c r="D71" s="85">
        <v>268533345</v>
      </c>
      <c r="E71" s="119">
        <f>'Student Enrollment Data'!CK73</f>
        <v>446.5</v>
      </c>
      <c r="F71" s="82">
        <f t="shared" si="71"/>
        <v>601418.46584546473</v>
      </c>
      <c r="G71" s="118">
        <f t="shared" si="72"/>
        <v>1.0644406962286885</v>
      </c>
      <c r="H71" s="269">
        <v>1.000516147445478</v>
      </c>
      <c r="I71" s="269">
        <f t="shared" si="79"/>
        <v>1.000516147445478</v>
      </c>
      <c r="J71">
        <f t="shared" si="73"/>
        <v>0</v>
      </c>
      <c r="K71">
        <f>IF(J71&gt;'Front page'!$E$21,'Front page'!$E$21,J71)+1</f>
        <v>1</v>
      </c>
      <c r="L71" s="34">
        <f t="shared" si="76"/>
        <v>1</v>
      </c>
      <c r="M71">
        <v>285</v>
      </c>
      <c r="N71" t="s">
        <v>80</v>
      </c>
      <c r="O71">
        <f t="shared" si="77"/>
        <v>1</v>
      </c>
      <c r="Q71" s="65">
        <f t="shared" ref="Q71" si="84">IF(J71=1,0,IF(J71&lt;0.1,0.1,J71*-1))</f>
        <v>0.1</v>
      </c>
      <c r="R71" s="65">
        <f t="shared" si="82"/>
        <v>0.1</v>
      </c>
      <c r="T71" s="39"/>
    </row>
    <row r="72" spans="1:20">
      <c r="A72" s="83">
        <v>287</v>
      </c>
      <c r="B72" s="121">
        <f t="shared" si="75"/>
        <v>287</v>
      </c>
      <c r="C72" s="88" t="s">
        <v>484</v>
      </c>
      <c r="D72" s="85">
        <v>150915192</v>
      </c>
      <c r="E72" s="119">
        <f>'Student Enrollment Data'!CK74</f>
        <v>261.5</v>
      </c>
      <c r="F72" s="82">
        <f t="shared" si="71"/>
        <v>577113.54493307834</v>
      </c>
      <c r="G72" s="118">
        <f t="shared" si="72"/>
        <v>1.0214238146279639</v>
      </c>
      <c r="H72" s="269">
        <v>0.93728690668402515</v>
      </c>
      <c r="I72" s="269">
        <f t="shared" si="79"/>
        <v>0.93728690668402515</v>
      </c>
      <c r="J72">
        <f t="shared" si="73"/>
        <v>0</v>
      </c>
      <c r="K72">
        <f>IF(J72&gt;'Front page'!$E$21,'Front page'!$E$21,J72)+1</f>
        <v>1</v>
      </c>
      <c r="L72" s="34">
        <f t="shared" si="76"/>
        <v>1</v>
      </c>
      <c r="M72">
        <v>287</v>
      </c>
      <c r="N72" t="s">
        <v>81</v>
      </c>
      <c r="O72">
        <f t="shared" si="77"/>
        <v>1</v>
      </c>
      <c r="Q72" s="65">
        <f t="shared" ref="Q72" si="85">IF(J72=1,0,IF(J72&gt;0.01,0.1,J72*-1))</f>
        <v>0</v>
      </c>
      <c r="R72" s="65">
        <f t="shared" si="82"/>
        <v>0</v>
      </c>
      <c r="T72" s="39"/>
    </row>
    <row r="73" spans="1:20">
      <c r="A73" s="83">
        <v>288</v>
      </c>
      <c r="B73" s="121">
        <f t="shared" si="75"/>
        <v>288</v>
      </c>
      <c r="C73" s="88" t="s">
        <v>399</v>
      </c>
      <c r="D73" s="85">
        <v>197730914</v>
      </c>
      <c r="E73" s="119">
        <f>'Student Enrollment Data'!CK75</f>
        <v>232.5</v>
      </c>
      <c r="F73" s="82">
        <f t="shared" si="71"/>
        <v>850455.54408602149</v>
      </c>
      <c r="G73" s="118">
        <f t="shared" si="72"/>
        <v>1.5052073437516973</v>
      </c>
      <c r="H73" s="269">
        <v>1.0636189063363004</v>
      </c>
      <c r="I73" s="269">
        <f t="shared" si="79"/>
        <v>1.0636189063363004</v>
      </c>
      <c r="J73">
        <f t="shared" si="73"/>
        <v>0</v>
      </c>
      <c r="K73">
        <f>IF(J73&gt;'Front page'!$E$21,'Front page'!$E$21,J73)+1</f>
        <v>1</v>
      </c>
      <c r="L73" s="34">
        <f t="shared" si="76"/>
        <v>1</v>
      </c>
      <c r="M73">
        <v>288</v>
      </c>
      <c r="N73" t="s">
        <v>82</v>
      </c>
      <c r="O73">
        <f t="shared" si="77"/>
        <v>1</v>
      </c>
      <c r="Q73" s="65">
        <f t="shared" ref="Q73" si="86">IF(J73=1,0,IF(J73&gt;0.01,0.01,J73*-1))</f>
        <v>0</v>
      </c>
      <c r="R73" s="65">
        <f t="shared" si="82"/>
        <v>0</v>
      </c>
      <c r="T73" s="39"/>
    </row>
    <row r="74" spans="1:20">
      <c r="A74" s="83">
        <v>291</v>
      </c>
      <c r="B74" s="121">
        <f t="shared" si="75"/>
        <v>291</v>
      </c>
      <c r="C74" s="87" t="s">
        <v>485</v>
      </c>
      <c r="D74" s="85">
        <v>653307686</v>
      </c>
      <c r="E74" s="119">
        <f>'Student Enrollment Data'!CK76</f>
        <v>751.5</v>
      </c>
      <c r="F74" s="82">
        <f t="shared" si="71"/>
        <v>869338.23819028609</v>
      </c>
      <c r="G74" s="118">
        <f t="shared" si="72"/>
        <v>1.5386275148978579</v>
      </c>
      <c r="H74" s="269">
        <v>1.0910902436597385</v>
      </c>
      <c r="I74" s="269">
        <f t="shared" si="79"/>
        <v>1.0910902436597385</v>
      </c>
      <c r="J74">
        <f t="shared" si="73"/>
        <v>0</v>
      </c>
      <c r="K74">
        <f>IF(J74&gt;'Front page'!$E$21,'Front page'!$E$21,J74)+1</f>
        <v>1</v>
      </c>
      <c r="L74" s="34">
        <f t="shared" si="76"/>
        <v>1</v>
      </c>
      <c r="M74">
        <v>291</v>
      </c>
      <c r="N74" t="s">
        <v>83</v>
      </c>
      <c r="O74">
        <f t="shared" si="77"/>
        <v>1</v>
      </c>
      <c r="Q74" s="65">
        <f t="shared" ref="Q74" si="87">IF(J74=1,0,IF(J74&lt;0.1,0.1,J74*-1))</f>
        <v>0.1</v>
      </c>
      <c r="R74" s="65">
        <f t="shared" si="82"/>
        <v>0.1</v>
      </c>
      <c r="T74" s="39"/>
    </row>
    <row r="75" spans="1:20">
      <c r="A75" s="83">
        <v>292</v>
      </c>
      <c r="B75" s="121">
        <f t="shared" si="75"/>
        <v>292</v>
      </c>
      <c r="C75" s="87" t="s">
        <v>401</v>
      </c>
      <c r="D75" s="85">
        <v>89531313</v>
      </c>
      <c r="E75" s="119">
        <f>'Student Enrollment Data'!CK77</f>
        <v>99.5</v>
      </c>
      <c r="F75" s="82">
        <f t="shared" si="71"/>
        <v>899812.19095477392</v>
      </c>
      <c r="G75" s="118">
        <f t="shared" si="72"/>
        <v>1.5925628649737342</v>
      </c>
      <c r="H75" s="269">
        <v>0.70802810351822731</v>
      </c>
      <c r="I75" s="269">
        <f t="shared" si="79"/>
        <v>0.70802810351822731</v>
      </c>
      <c r="J75">
        <f t="shared" si="73"/>
        <v>0</v>
      </c>
      <c r="K75">
        <f>IF(J75&gt;'Front page'!$E$21,'Front page'!$E$21,J75)+1</f>
        <v>1</v>
      </c>
      <c r="L75" s="34">
        <f t="shared" si="76"/>
        <v>1</v>
      </c>
      <c r="M75">
        <v>292</v>
      </c>
      <c r="N75" t="s">
        <v>84</v>
      </c>
      <c r="O75">
        <f t="shared" si="77"/>
        <v>1</v>
      </c>
      <c r="Q75" s="65">
        <f t="shared" ref="Q75" si="88">IF(J75=1,0,IF(J75&gt;0.01,0.1,J75*-1))</f>
        <v>0</v>
      </c>
      <c r="R75" s="65">
        <f t="shared" si="82"/>
        <v>0</v>
      </c>
      <c r="T75" s="39"/>
    </row>
    <row r="76" spans="1:20">
      <c r="A76" s="83">
        <v>302</v>
      </c>
      <c r="B76" s="121">
        <f t="shared" si="75"/>
        <v>302</v>
      </c>
      <c r="C76" s="84" t="s">
        <v>486</v>
      </c>
      <c r="D76" s="85">
        <v>127881849</v>
      </c>
      <c r="E76" s="119">
        <f>'Student Enrollment Data'!CK78</f>
        <v>137</v>
      </c>
      <c r="F76" s="82">
        <f t="shared" si="71"/>
        <v>933444.15328467148</v>
      </c>
      <c r="G76" s="118">
        <f t="shared" si="72"/>
        <v>1.6520875244762441</v>
      </c>
      <c r="H76" s="269">
        <v>0.88550544398029651</v>
      </c>
      <c r="I76" s="269">
        <f t="shared" si="79"/>
        <v>0.88550544398029651</v>
      </c>
      <c r="J76">
        <f t="shared" si="73"/>
        <v>0</v>
      </c>
      <c r="K76">
        <f>IF(J76&gt;'Front page'!$E$21,'Front page'!$E$21,J76)+1</f>
        <v>1</v>
      </c>
      <c r="L76" s="34">
        <f t="shared" si="76"/>
        <v>1</v>
      </c>
      <c r="M76">
        <v>302</v>
      </c>
      <c r="N76" t="s">
        <v>85</v>
      </c>
      <c r="O76">
        <f t="shared" si="77"/>
        <v>1</v>
      </c>
      <c r="Q76" s="65">
        <f t="shared" ref="Q76" si="89">IF(J76=1,0,IF(J76&gt;0.01,0.01,J76*-1))</f>
        <v>0</v>
      </c>
      <c r="R76" s="65">
        <f t="shared" si="82"/>
        <v>0</v>
      </c>
      <c r="T76" s="39"/>
    </row>
    <row r="77" spans="1:20">
      <c r="A77" s="83">
        <v>304</v>
      </c>
      <c r="B77" s="121">
        <f t="shared" si="75"/>
        <v>304</v>
      </c>
      <c r="C77" s="84" t="s">
        <v>487</v>
      </c>
      <c r="D77" s="85">
        <v>202036305</v>
      </c>
      <c r="E77" s="119">
        <f>'Student Enrollment Data'!CK79</f>
        <v>407</v>
      </c>
      <c r="F77" s="82">
        <f t="shared" si="71"/>
        <v>496403.69778869778</v>
      </c>
      <c r="G77" s="118">
        <f t="shared" si="72"/>
        <v>0.87857677755519414</v>
      </c>
      <c r="H77" s="269">
        <v>0.81435065847849175</v>
      </c>
      <c r="I77" s="269">
        <f t="shared" si="79"/>
        <v>0.81435065847849175</v>
      </c>
      <c r="J77">
        <f t="shared" si="73"/>
        <v>0.12142322244480586</v>
      </c>
      <c r="K77">
        <f>IF(J77&gt;'Front page'!$E$21,'Front page'!$E$21,J77)+1</f>
        <v>1.1000000000000001</v>
      </c>
      <c r="L77" s="34">
        <f t="shared" si="76"/>
        <v>1.1000000000000001</v>
      </c>
      <c r="M77">
        <v>304</v>
      </c>
      <c r="N77" t="s">
        <v>86</v>
      </c>
      <c r="O77">
        <f t="shared" si="77"/>
        <v>1.1000000000000001</v>
      </c>
      <c r="Q77" s="65">
        <f t="shared" ref="Q77" si="90">IF(J77=1,0,IF(J77&lt;0.1,0.1,J77*-1))</f>
        <v>-0.12142322244480586</v>
      </c>
      <c r="R77" s="65">
        <f t="shared" si="82"/>
        <v>-0.12142322244480586</v>
      </c>
      <c r="T77" s="39"/>
    </row>
    <row r="78" spans="1:20">
      <c r="A78" s="83">
        <v>305</v>
      </c>
      <c r="B78" s="121">
        <f t="shared" si="75"/>
        <v>305</v>
      </c>
      <c r="C78" s="87" t="s">
        <v>488</v>
      </c>
      <c r="D78" s="85">
        <v>157552909</v>
      </c>
      <c r="E78" s="119">
        <f>'Student Enrollment Data'!CK80</f>
        <v>159</v>
      </c>
      <c r="F78" s="82">
        <f t="shared" si="71"/>
        <v>990898.79874213831</v>
      </c>
      <c r="G78" s="118">
        <f t="shared" si="72"/>
        <v>1.7537755608193664</v>
      </c>
      <c r="H78" s="269">
        <v>0.98805207613949664</v>
      </c>
      <c r="I78" s="269">
        <f t="shared" si="79"/>
        <v>0.98805207613949664</v>
      </c>
      <c r="J78">
        <f t="shared" si="73"/>
        <v>0</v>
      </c>
      <c r="K78">
        <f>IF(J78&gt;'Front page'!$E$21,'Front page'!$E$21,J78)+1</f>
        <v>1</v>
      </c>
      <c r="L78" s="34">
        <f t="shared" si="76"/>
        <v>1</v>
      </c>
      <c r="M78">
        <v>305</v>
      </c>
      <c r="N78" t="s">
        <v>87</v>
      </c>
      <c r="O78">
        <f t="shared" si="77"/>
        <v>1</v>
      </c>
      <c r="Q78" s="65">
        <f t="shared" ref="Q78" si="91">IF(J78=1,0,IF(J78&gt;0.01,0.1,J78*-1))</f>
        <v>0</v>
      </c>
      <c r="R78" s="65">
        <f t="shared" si="82"/>
        <v>0</v>
      </c>
      <c r="T78" s="39"/>
    </row>
    <row r="79" spans="1:20">
      <c r="A79" s="83">
        <v>312</v>
      </c>
      <c r="B79" s="121">
        <f t="shared" si="75"/>
        <v>312</v>
      </c>
      <c r="C79" s="87" t="s">
        <v>489</v>
      </c>
      <c r="D79" s="85">
        <v>215975510</v>
      </c>
      <c r="E79" s="119">
        <f>'Student Enrollment Data'!CK81</f>
        <v>478.5</v>
      </c>
      <c r="F79" s="82">
        <f t="shared" si="71"/>
        <v>451359.47753396031</v>
      </c>
      <c r="G79" s="118">
        <f t="shared" si="72"/>
        <v>0.79885374959390909</v>
      </c>
      <c r="H79" s="269">
        <v>0.78134205431474824</v>
      </c>
      <c r="I79" s="269">
        <f t="shared" si="79"/>
        <v>0.78134205431474824</v>
      </c>
      <c r="J79">
        <f t="shared" si="73"/>
        <v>0.20114625040609091</v>
      </c>
      <c r="K79">
        <f>IF(J79&gt;'Front page'!$E$21,'Front page'!$E$21,J79)+1</f>
        <v>1.1000000000000001</v>
      </c>
      <c r="L79" s="34">
        <f t="shared" si="76"/>
        <v>1.1000000000000001</v>
      </c>
      <c r="M79">
        <v>312</v>
      </c>
      <c r="N79" t="s">
        <v>88</v>
      </c>
      <c r="O79">
        <f t="shared" si="77"/>
        <v>1.1000000000000001</v>
      </c>
      <c r="Q79" s="65">
        <f t="shared" ref="Q79" si="92">IF(J79=1,0,IF(J79&gt;0.01,0.01,J79*-1))</f>
        <v>0.01</v>
      </c>
      <c r="R79" s="65">
        <f t="shared" si="82"/>
        <v>0.01</v>
      </c>
      <c r="T79" s="39"/>
    </row>
    <row r="80" spans="1:20">
      <c r="A80" s="83">
        <v>314</v>
      </c>
      <c r="B80" s="121">
        <f t="shared" si="75"/>
        <v>314</v>
      </c>
      <c r="C80" s="87" t="s">
        <v>490</v>
      </c>
      <c r="D80" s="85">
        <v>59042161</v>
      </c>
      <c r="E80" s="119">
        <f>'Student Enrollment Data'!CK82</f>
        <v>203</v>
      </c>
      <c r="F80" s="82">
        <f t="shared" si="71"/>
        <v>290848.08374384238</v>
      </c>
      <c r="G80" s="118">
        <f t="shared" si="72"/>
        <v>0.51476726163014952</v>
      </c>
      <c r="H80" s="269">
        <v>0.64611085047435712</v>
      </c>
      <c r="I80" s="269">
        <f t="shared" si="79"/>
        <v>0.51476726163014952</v>
      </c>
      <c r="J80">
        <f t="shared" si="73"/>
        <v>0.48523273836985048</v>
      </c>
      <c r="K80">
        <f>IF(J80&gt;'Front page'!$E$21,'Front page'!$E$21,J80)+1</f>
        <v>1.1000000000000001</v>
      </c>
      <c r="L80" s="34">
        <f t="shared" si="76"/>
        <v>1.1000000000000001</v>
      </c>
      <c r="M80">
        <v>314</v>
      </c>
      <c r="N80" t="s">
        <v>89</v>
      </c>
      <c r="O80">
        <f t="shared" si="77"/>
        <v>1.1000000000000001</v>
      </c>
      <c r="Q80" s="65">
        <f t="shared" ref="Q80" si="93">IF(J80=1,0,IF(J80&lt;0.1,0.1,J80*-1))</f>
        <v>-0.48523273836985048</v>
      </c>
      <c r="R80" s="65">
        <f t="shared" si="82"/>
        <v>-0.48523273836985048</v>
      </c>
      <c r="T80" s="39"/>
    </row>
    <row r="81" spans="1:20">
      <c r="A81" s="83">
        <v>316</v>
      </c>
      <c r="B81" s="121">
        <f t="shared" si="75"/>
        <v>316</v>
      </c>
      <c r="C81" s="87" t="s">
        <v>491</v>
      </c>
      <c r="D81" s="85">
        <v>77772805</v>
      </c>
      <c r="E81" s="119">
        <f>'Student Enrollment Data'!CK83</f>
        <v>177</v>
      </c>
      <c r="F81" s="82">
        <f t="shared" si="71"/>
        <v>439394.37853107345</v>
      </c>
      <c r="G81" s="118">
        <f t="shared" si="72"/>
        <v>0.77767691676225692</v>
      </c>
      <c r="H81" s="269">
        <v>0.72772769432606332</v>
      </c>
      <c r="I81" s="269">
        <f t="shared" si="79"/>
        <v>0.72772769432606332</v>
      </c>
      <c r="J81">
        <f t="shared" si="73"/>
        <v>0.22232308323774308</v>
      </c>
      <c r="K81">
        <f>IF(J81&gt;'Front page'!$E$21,'Front page'!$E$21,J81)+1</f>
        <v>1.1000000000000001</v>
      </c>
      <c r="L81" s="34">
        <f t="shared" si="76"/>
        <v>1.1000000000000001</v>
      </c>
      <c r="M81">
        <v>316</v>
      </c>
      <c r="N81" t="s">
        <v>90</v>
      </c>
      <c r="O81">
        <f t="shared" si="77"/>
        <v>1.1000000000000001</v>
      </c>
      <c r="Q81" s="65">
        <f t="shared" ref="Q81" si="94">IF(J81=1,0,IF(J81&gt;0.01,0.1,J81*-1))</f>
        <v>0.1</v>
      </c>
      <c r="R81" s="65">
        <f t="shared" si="82"/>
        <v>0.1</v>
      </c>
      <c r="T81" s="39"/>
    </row>
    <row r="82" spans="1:20">
      <c r="A82" s="83">
        <v>321</v>
      </c>
      <c r="B82" s="121">
        <f t="shared" si="75"/>
        <v>321</v>
      </c>
      <c r="C82" s="87" t="s">
        <v>492</v>
      </c>
      <c r="D82" s="85">
        <v>1652319610</v>
      </c>
      <c r="E82" s="119">
        <f>'Student Enrollment Data'!CK84</f>
        <v>5007.4784313725486</v>
      </c>
      <c r="F82" s="82">
        <f t="shared" si="71"/>
        <v>329970.38981695613</v>
      </c>
      <c r="G82" s="118">
        <f t="shared" si="72"/>
        <v>0.58400919063543111</v>
      </c>
      <c r="H82" s="269">
        <v>0.87290617640124224</v>
      </c>
      <c r="I82" s="269">
        <f t="shared" si="79"/>
        <v>0.58400919063543111</v>
      </c>
      <c r="J82">
        <f t="shared" si="73"/>
        <v>0.41599080936456889</v>
      </c>
      <c r="K82">
        <f>IF(J82&gt;'Front page'!$E$21,'Front page'!$E$21,J82)+1</f>
        <v>1.1000000000000001</v>
      </c>
      <c r="L82" s="34">
        <f t="shared" si="76"/>
        <v>1.1000000000000001</v>
      </c>
      <c r="M82">
        <v>321</v>
      </c>
      <c r="N82" t="s">
        <v>91</v>
      </c>
      <c r="O82">
        <f t="shared" si="77"/>
        <v>1.1000000000000001</v>
      </c>
      <c r="Q82" s="65">
        <f t="shared" ref="Q82" si="95">IF(J82=1,0,IF(J82&gt;0.01,0.01,J82*-1))</f>
        <v>0.01</v>
      </c>
      <c r="R82" s="65">
        <f t="shared" si="82"/>
        <v>0.01</v>
      </c>
      <c r="T82" s="39"/>
    </row>
    <row r="83" spans="1:20">
      <c r="A83" s="83">
        <v>322</v>
      </c>
      <c r="B83" s="121">
        <f t="shared" si="75"/>
        <v>322</v>
      </c>
      <c r="C83" s="87" t="s">
        <v>493</v>
      </c>
      <c r="D83" s="85">
        <v>295914424</v>
      </c>
      <c r="E83" s="119">
        <f>'Student Enrollment Data'!CK85</f>
        <v>1559</v>
      </c>
      <c r="F83" s="82">
        <f t="shared" si="71"/>
        <v>189810.4066709429</v>
      </c>
      <c r="G83" s="118">
        <f t="shared" si="72"/>
        <v>0.33594233117575062</v>
      </c>
      <c r="H83" s="269">
        <v>0.735788385039713</v>
      </c>
      <c r="I83" s="269">
        <f t="shared" si="79"/>
        <v>0.33594233117575062</v>
      </c>
      <c r="J83">
        <f t="shared" si="73"/>
        <v>0.66405766882424944</v>
      </c>
      <c r="K83">
        <f>IF(J83&gt;'Front page'!$E$21,'Front page'!$E$21,J83)+1</f>
        <v>1.1000000000000001</v>
      </c>
      <c r="L83" s="34">
        <f t="shared" si="76"/>
        <v>1.1000000000000001</v>
      </c>
      <c r="M83">
        <v>322</v>
      </c>
      <c r="N83" t="s">
        <v>92</v>
      </c>
      <c r="O83">
        <f t="shared" si="77"/>
        <v>1.1000000000000001</v>
      </c>
      <c r="Q83" s="65">
        <f t="shared" ref="Q83" si="96">IF(J83=1,0,IF(J83&lt;0.1,0.1,J83*-1))</f>
        <v>-0.66405766882424944</v>
      </c>
      <c r="R83" s="65">
        <f t="shared" si="82"/>
        <v>-0.66405766882424944</v>
      </c>
      <c r="T83" s="39"/>
    </row>
    <row r="84" spans="1:20">
      <c r="A84" s="83">
        <v>331</v>
      </c>
      <c r="B84" s="121">
        <f t="shared" si="75"/>
        <v>331</v>
      </c>
      <c r="C84" s="87" t="s">
        <v>494</v>
      </c>
      <c r="D84" s="85">
        <v>1500396158</v>
      </c>
      <c r="E84" s="119">
        <f>'Student Enrollment Data'!CK86</f>
        <v>4068.3878959276017</v>
      </c>
      <c r="F84" s="82">
        <f t="shared" si="71"/>
        <v>368793.78180774627</v>
      </c>
      <c r="G84" s="118">
        <f t="shared" si="72"/>
        <v>0.65272207650025349</v>
      </c>
      <c r="H84" s="269">
        <v>0.88600689383569164</v>
      </c>
      <c r="I84" s="269">
        <f t="shared" si="79"/>
        <v>0.65272207650025349</v>
      </c>
      <c r="J84">
        <f t="shared" si="73"/>
        <v>0.34727792349974651</v>
      </c>
      <c r="K84">
        <f>IF(J84&gt;'Front page'!$E$21,'Front page'!$E$21,J84)+1</f>
        <v>1.1000000000000001</v>
      </c>
      <c r="L84" s="34">
        <f t="shared" si="76"/>
        <v>1.1000000000000001</v>
      </c>
      <c r="M84">
        <v>331</v>
      </c>
      <c r="N84" t="s">
        <v>93</v>
      </c>
      <c r="O84">
        <f t="shared" si="77"/>
        <v>1.1000000000000001</v>
      </c>
      <c r="Q84" s="65">
        <f t="shared" ref="Q84" si="97">IF(J84=1,0,IF(J84&gt;0.01,0.1,J84*-1))</f>
        <v>0.1</v>
      </c>
      <c r="R84" s="65">
        <f t="shared" si="82"/>
        <v>0.1</v>
      </c>
      <c r="T84" s="39"/>
    </row>
    <row r="85" spans="1:20">
      <c r="A85" s="83">
        <v>340</v>
      </c>
      <c r="B85" s="121">
        <f t="shared" si="75"/>
        <v>340</v>
      </c>
      <c r="C85" s="87" t="s">
        <v>495</v>
      </c>
      <c r="D85" s="85">
        <v>2949415628</v>
      </c>
      <c r="E85" s="119">
        <f>'Student Enrollment Data'!CK87</f>
        <v>4536.3426470588238</v>
      </c>
      <c r="F85" s="82">
        <f t="shared" si="71"/>
        <v>650174.79001774231</v>
      </c>
      <c r="G85" s="118">
        <f t="shared" si="72"/>
        <v>1.1507337161387658</v>
      </c>
      <c r="H85" s="269">
        <v>1.1853078284665823</v>
      </c>
      <c r="I85" s="269">
        <f t="shared" si="79"/>
        <v>1.1507337161387658</v>
      </c>
      <c r="J85">
        <f t="shared" si="73"/>
        <v>0</v>
      </c>
      <c r="K85">
        <f>IF(J85&gt;'Front page'!$E$21,'Front page'!$E$21,J85)+1</f>
        <v>1</v>
      </c>
      <c r="L85" s="34">
        <f t="shared" si="76"/>
        <v>1</v>
      </c>
      <c r="M85">
        <v>340</v>
      </c>
      <c r="N85" t="s">
        <v>94</v>
      </c>
      <c r="O85">
        <f t="shared" si="77"/>
        <v>1</v>
      </c>
      <c r="Q85" s="65">
        <f t="shared" ref="Q85" si="98">IF(J85=1,0,IF(J85&gt;0.01,0.01,J85*-1))</f>
        <v>0</v>
      </c>
      <c r="R85" s="65">
        <f t="shared" si="82"/>
        <v>0</v>
      </c>
      <c r="T85" s="39"/>
    </row>
    <row r="86" spans="1:20">
      <c r="A86" s="83">
        <v>341</v>
      </c>
      <c r="B86" s="121">
        <f t="shared" si="75"/>
        <v>341</v>
      </c>
      <c r="C86" s="87" t="s">
        <v>496</v>
      </c>
      <c r="D86" s="85">
        <v>161929883</v>
      </c>
      <c r="E86" s="119">
        <f>'Student Enrollment Data'!CK88</f>
        <v>481.5</v>
      </c>
      <c r="F86" s="82">
        <f t="shared" si="71"/>
        <v>336302.97611630324</v>
      </c>
      <c r="G86" s="118">
        <f t="shared" si="72"/>
        <v>0.59521713144903654</v>
      </c>
      <c r="H86" s="269">
        <v>0.82613891674671192</v>
      </c>
      <c r="I86" s="269">
        <f t="shared" si="79"/>
        <v>0.59521713144903654</v>
      </c>
      <c r="J86">
        <f t="shared" si="73"/>
        <v>0.40478286855096346</v>
      </c>
      <c r="K86">
        <f>IF(J86&gt;'Front page'!$E$21,'Front page'!$E$21,J86)+1</f>
        <v>1.1000000000000001</v>
      </c>
      <c r="L86" s="34">
        <f t="shared" si="76"/>
        <v>1.1000000000000001</v>
      </c>
      <c r="M86">
        <v>341</v>
      </c>
      <c r="N86" t="s">
        <v>95</v>
      </c>
      <c r="O86">
        <f t="shared" si="77"/>
        <v>1.1000000000000001</v>
      </c>
      <c r="Q86" s="65">
        <f t="shared" ref="Q86" si="99">IF(J86=1,0,IF(J86&lt;0.1,0.1,J86*-1))</f>
        <v>-0.40478286855096346</v>
      </c>
      <c r="R86" s="65">
        <f t="shared" si="82"/>
        <v>-0.40478286855096346</v>
      </c>
      <c r="T86" s="39"/>
    </row>
    <row r="87" spans="1:20">
      <c r="A87" s="83">
        <v>342</v>
      </c>
      <c r="B87" s="121">
        <f t="shared" si="75"/>
        <v>342</v>
      </c>
      <c r="C87" s="84" t="s">
        <v>497</v>
      </c>
      <c r="D87" s="85">
        <v>59860146</v>
      </c>
      <c r="E87" s="119">
        <f>'Student Enrollment Data'!CK89</f>
        <v>85</v>
      </c>
      <c r="F87" s="82">
        <f t="shared" si="71"/>
        <v>704237.01176470588</v>
      </c>
      <c r="G87" s="118">
        <f t="shared" si="72"/>
        <v>1.2464175572977005</v>
      </c>
      <c r="H87" s="269">
        <v>0.78835687472300997</v>
      </c>
      <c r="I87" s="269">
        <f t="shared" si="79"/>
        <v>0.78835687472300997</v>
      </c>
      <c r="J87">
        <f t="shared" si="73"/>
        <v>0</v>
      </c>
      <c r="K87">
        <f>IF(J87&gt;'Front page'!$E$21,'Front page'!$E$21,J87)+1</f>
        <v>1</v>
      </c>
      <c r="L87" s="34">
        <f t="shared" si="76"/>
        <v>1</v>
      </c>
      <c r="M87">
        <v>342</v>
      </c>
      <c r="N87" t="s">
        <v>96</v>
      </c>
      <c r="O87">
        <f t="shared" si="77"/>
        <v>1</v>
      </c>
      <c r="Q87" s="65">
        <f t="shared" ref="Q87" si="100">IF(J87=1,0,IF(J87&gt;0.01,0.1,J87*-1))</f>
        <v>0</v>
      </c>
      <c r="R87" s="65">
        <f t="shared" si="82"/>
        <v>0</v>
      </c>
      <c r="T87" s="39"/>
    </row>
    <row r="88" spans="1:20">
      <c r="A88" s="83">
        <v>351</v>
      </c>
      <c r="B88" s="121">
        <f t="shared" si="75"/>
        <v>351</v>
      </c>
      <c r="C88" s="87" t="s">
        <v>498</v>
      </c>
      <c r="D88" s="85">
        <v>346845776</v>
      </c>
      <c r="E88" s="119">
        <f>'Student Enrollment Data'!CK90</f>
        <v>2273</v>
      </c>
      <c r="F88" s="82">
        <f t="shared" si="71"/>
        <v>152593.83018037837</v>
      </c>
      <c r="G88" s="118">
        <f t="shared" si="72"/>
        <v>0.2700733217578658</v>
      </c>
      <c r="H88" s="269">
        <v>0.72158990956468827</v>
      </c>
      <c r="I88" s="269">
        <f t="shared" si="79"/>
        <v>0.2700733217578658</v>
      </c>
      <c r="J88">
        <f t="shared" si="73"/>
        <v>0.7299266782421342</v>
      </c>
      <c r="K88">
        <f>IF(J88&gt;'Front page'!$E$21,'Front page'!$E$21,J88)+1</f>
        <v>1.1000000000000001</v>
      </c>
      <c r="L88" s="34">
        <f t="shared" si="76"/>
        <v>1.1000000000000001</v>
      </c>
      <c r="M88">
        <v>351</v>
      </c>
      <c r="N88" t="s">
        <v>97</v>
      </c>
      <c r="O88">
        <f t="shared" si="77"/>
        <v>1.1000000000000001</v>
      </c>
      <c r="Q88" s="65">
        <f t="shared" ref="Q88" si="101">IF(J88=1,0,IF(J88&gt;0.01,0.01,J88*-1))</f>
        <v>0.01</v>
      </c>
      <c r="R88" s="65">
        <f t="shared" si="82"/>
        <v>0.01</v>
      </c>
      <c r="T88" s="39"/>
    </row>
    <row r="89" spans="1:20">
      <c r="A89" s="83">
        <v>363</v>
      </c>
      <c r="B89" s="121">
        <f t="shared" si="75"/>
        <v>363</v>
      </c>
      <c r="C89" s="84" t="s">
        <v>499</v>
      </c>
      <c r="D89" s="85">
        <v>271343437</v>
      </c>
      <c r="E89" s="119">
        <f>'Student Enrollment Data'!CK91</f>
        <v>826.5</v>
      </c>
      <c r="F89" s="82">
        <f t="shared" si="71"/>
        <v>328304.21899576526</v>
      </c>
      <c r="G89" s="118">
        <f t="shared" si="72"/>
        <v>0.58106026217768736</v>
      </c>
      <c r="H89" s="269">
        <v>0.69540167940281006</v>
      </c>
      <c r="I89" s="269">
        <f t="shared" si="79"/>
        <v>0.58106026217768736</v>
      </c>
      <c r="J89">
        <f t="shared" si="73"/>
        <v>0.41893973782231264</v>
      </c>
      <c r="K89">
        <f>IF(J89&gt;'Front page'!$E$21,'Front page'!$E$21,J89)+1</f>
        <v>1.1000000000000001</v>
      </c>
      <c r="L89" s="34">
        <f t="shared" si="76"/>
        <v>1.1000000000000001</v>
      </c>
      <c r="M89">
        <v>363</v>
      </c>
      <c r="N89" t="s">
        <v>98</v>
      </c>
      <c r="O89">
        <f t="shared" si="77"/>
        <v>1.1000000000000001</v>
      </c>
      <c r="Q89" s="65">
        <f t="shared" ref="Q89" si="102">IF(J89=1,0,IF(J89&lt;0.1,0.1,J89*-1))</f>
        <v>-0.41893973782231264</v>
      </c>
      <c r="R89" s="65">
        <f t="shared" si="82"/>
        <v>-0.41893973782231264</v>
      </c>
      <c r="T89" s="39"/>
    </row>
    <row r="90" spans="1:20">
      <c r="A90" s="83">
        <v>364</v>
      </c>
      <c r="B90" s="121">
        <f t="shared" si="75"/>
        <v>364</v>
      </c>
      <c r="C90" s="88" t="s">
        <v>500</v>
      </c>
      <c r="D90" s="85">
        <v>20593919</v>
      </c>
      <c r="E90" s="119">
        <f>'Student Enrollment Data'!CK92</f>
        <v>6</v>
      </c>
      <c r="F90" s="82">
        <f t="shared" si="71"/>
        <v>3432319.8333333335</v>
      </c>
      <c r="G90" s="118">
        <f t="shared" si="72"/>
        <v>6.0748066788019806</v>
      </c>
      <c r="H90" s="269">
        <v>1.4645171053525936</v>
      </c>
      <c r="I90" s="269">
        <f t="shared" si="79"/>
        <v>1.4645171053525936</v>
      </c>
      <c r="J90">
        <f t="shared" si="73"/>
        <v>0</v>
      </c>
      <c r="K90">
        <f>IF(J90&gt;'Front page'!$E$21,'Front page'!$E$21,J90)+1</f>
        <v>1</v>
      </c>
      <c r="L90" s="34">
        <f t="shared" si="76"/>
        <v>1</v>
      </c>
      <c r="M90">
        <v>364</v>
      </c>
      <c r="N90" t="s">
        <v>99</v>
      </c>
      <c r="O90">
        <f t="shared" si="77"/>
        <v>1</v>
      </c>
      <c r="Q90" s="65">
        <f t="shared" ref="Q90" si="103">IF(J90=1,0,IF(J90&gt;0.01,0.1,J90*-1))</f>
        <v>0</v>
      </c>
      <c r="R90" s="65">
        <f t="shared" si="82"/>
        <v>0</v>
      </c>
      <c r="T90" s="39"/>
    </row>
    <row r="91" spans="1:20">
      <c r="A91" s="83">
        <v>365</v>
      </c>
      <c r="B91" s="121">
        <f t="shared" si="75"/>
        <v>365</v>
      </c>
      <c r="C91" s="87" t="s">
        <v>501</v>
      </c>
      <c r="D91" s="85">
        <v>204785312</v>
      </c>
      <c r="E91" s="119">
        <f>'Student Enrollment Data'!CK93</f>
        <v>290.5</v>
      </c>
      <c r="F91" s="82">
        <f t="shared" si="71"/>
        <v>704940.83304647158</v>
      </c>
      <c r="G91" s="118">
        <f t="shared" si="72"/>
        <v>1.2476632390612794</v>
      </c>
      <c r="H91" s="269">
        <v>0.87549595256470225</v>
      </c>
      <c r="I91" s="269">
        <f t="shared" si="79"/>
        <v>0.87549595256470225</v>
      </c>
      <c r="J91">
        <f t="shared" si="73"/>
        <v>0</v>
      </c>
      <c r="K91">
        <f>IF(J91&gt;'Front page'!$E$21,'Front page'!$E$21,J91)+1</f>
        <v>1</v>
      </c>
      <c r="L91" s="34">
        <f t="shared" si="76"/>
        <v>1</v>
      </c>
      <c r="M91">
        <v>365</v>
      </c>
      <c r="N91" t="s">
        <v>100</v>
      </c>
      <c r="O91">
        <f t="shared" si="77"/>
        <v>1</v>
      </c>
      <c r="Q91" s="65">
        <f t="shared" ref="Q91" si="104">IF(J91=1,0,IF(J91&gt;0.01,0.01,J91*-1))</f>
        <v>0</v>
      </c>
      <c r="R91" s="65">
        <f t="shared" si="82"/>
        <v>0</v>
      </c>
      <c r="T91" s="39"/>
    </row>
    <row r="92" spans="1:20">
      <c r="A92" s="83">
        <v>370</v>
      </c>
      <c r="B92" s="121">
        <f t="shared" si="75"/>
        <v>370</v>
      </c>
      <c r="C92" s="88" t="s">
        <v>502</v>
      </c>
      <c r="D92" s="85">
        <v>305135936</v>
      </c>
      <c r="E92" s="119">
        <f>'Student Enrollment Data'!CK94</f>
        <v>1168</v>
      </c>
      <c r="F92" s="82">
        <f t="shared" si="71"/>
        <v>261246.5205479452</v>
      </c>
      <c r="G92" s="118">
        <f t="shared" si="72"/>
        <v>0.46237593956889006</v>
      </c>
      <c r="H92" s="269">
        <v>0.63254219734807793</v>
      </c>
      <c r="I92" s="269">
        <f t="shared" si="79"/>
        <v>0.46237593956889006</v>
      </c>
      <c r="J92">
        <f t="shared" si="73"/>
        <v>0.53762406043111</v>
      </c>
      <c r="K92">
        <f>IF(J92&gt;'Front page'!$E$21,'Front page'!$E$21,J92)+1</f>
        <v>1.1000000000000001</v>
      </c>
      <c r="L92" s="34">
        <f t="shared" si="76"/>
        <v>1.1000000000000001</v>
      </c>
      <c r="M92">
        <v>370</v>
      </c>
      <c r="N92" t="s">
        <v>101</v>
      </c>
      <c r="O92">
        <f t="shared" si="77"/>
        <v>1.1000000000000001</v>
      </c>
      <c r="Q92" s="65">
        <f t="shared" ref="Q92" si="105">IF(J92=1,0,IF(J92&lt;0.1,0.1,J92*-1))</f>
        <v>-0.53762406043111</v>
      </c>
      <c r="R92" s="65">
        <f t="shared" si="82"/>
        <v>-0.53762406043111</v>
      </c>
      <c r="T92" s="39"/>
    </row>
    <row r="93" spans="1:20">
      <c r="A93" s="83">
        <v>371</v>
      </c>
      <c r="B93" s="121">
        <f t="shared" si="75"/>
        <v>371</v>
      </c>
      <c r="C93" s="84" t="s">
        <v>503</v>
      </c>
      <c r="D93" s="85">
        <v>444945127</v>
      </c>
      <c r="E93" s="119">
        <f>'Student Enrollment Data'!CK95</f>
        <v>1491.9192156862746</v>
      </c>
      <c r="F93" s="82">
        <f t="shared" si="71"/>
        <v>298236.74252719356</v>
      </c>
      <c r="G93" s="118">
        <f t="shared" si="72"/>
        <v>0.52784432784309054</v>
      </c>
      <c r="H93" s="269">
        <v>0.71295776177382308</v>
      </c>
      <c r="I93" s="269">
        <f t="shared" si="79"/>
        <v>0.52784432784309054</v>
      </c>
      <c r="J93">
        <f t="shared" si="73"/>
        <v>0.47215567215690946</v>
      </c>
      <c r="K93">
        <f>IF(J93&gt;'Front page'!$E$21,'Front page'!$E$21,J93)+1</f>
        <v>1.1000000000000001</v>
      </c>
      <c r="L93" s="34">
        <f t="shared" si="76"/>
        <v>1.1000000000000001</v>
      </c>
      <c r="M93">
        <v>371</v>
      </c>
      <c r="N93" t="s">
        <v>102</v>
      </c>
      <c r="O93">
        <f t="shared" si="77"/>
        <v>1.1000000000000001</v>
      </c>
      <c r="Q93" s="65">
        <f t="shared" ref="Q93" si="106">IF(J93=1,0,IF(J93&gt;0.01,0.1,J93*-1))</f>
        <v>0.1</v>
      </c>
      <c r="R93" s="65">
        <f t="shared" si="82"/>
        <v>0.1</v>
      </c>
      <c r="T93" s="39"/>
    </row>
    <row r="94" spans="1:20">
      <c r="A94" s="83">
        <v>372</v>
      </c>
      <c r="B94" s="121">
        <f t="shared" si="75"/>
        <v>372</v>
      </c>
      <c r="C94" s="88" t="s">
        <v>504</v>
      </c>
      <c r="D94" s="85">
        <v>454134504</v>
      </c>
      <c r="E94" s="119">
        <f>'Student Enrollment Data'!CK96</f>
        <v>954.84901960784316</v>
      </c>
      <c r="F94" s="82">
        <f t="shared" si="71"/>
        <v>475608.7032340602</v>
      </c>
      <c r="G94" s="118">
        <f t="shared" si="72"/>
        <v>0.84177205715025427</v>
      </c>
      <c r="H94" s="269">
        <v>0.851110696825784</v>
      </c>
      <c r="I94" s="269">
        <f t="shared" si="79"/>
        <v>0.84177205715025427</v>
      </c>
      <c r="J94">
        <f t="shared" si="73"/>
        <v>0.15822794284974573</v>
      </c>
      <c r="K94">
        <f>IF(J94&gt;'Front page'!$E$21,'Front page'!$E$21,J94)+1</f>
        <v>1.1000000000000001</v>
      </c>
      <c r="L94" s="34">
        <f t="shared" si="76"/>
        <v>1.1000000000000001</v>
      </c>
      <c r="M94">
        <v>372</v>
      </c>
      <c r="N94" t="s">
        <v>103</v>
      </c>
      <c r="O94">
        <f t="shared" si="77"/>
        <v>1.1000000000000001</v>
      </c>
      <c r="Q94" s="65">
        <f t="shared" ref="Q94" si="107">IF(J94=1,0,IF(J94&gt;0.01,0.01,J94*-1))</f>
        <v>0.01</v>
      </c>
      <c r="R94" s="65">
        <f t="shared" si="82"/>
        <v>0.01</v>
      </c>
      <c r="T94" s="39"/>
    </row>
    <row r="95" spans="1:20">
      <c r="A95" s="83">
        <v>373</v>
      </c>
      <c r="B95" s="121">
        <f t="shared" si="75"/>
        <v>373</v>
      </c>
      <c r="C95" s="88" t="s">
        <v>505</v>
      </c>
      <c r="D95" s="85">
        <v>612605322</v>
      </c>
      <c r="E95" s="119">
        <f>'Student Enrollment Data'!CK97</f>
        <v>1696.8627450980391</v>
      </c>
      <c r="F95" s="82">
        <f t="shared" si="71"/>
        <v>361022.31825745321</v>
      </c>
      <c r="G95" s="118">
        <f t="shared" si="72"/>
        <v>0.63896749039761225</v>
      </c>
      <c r="H95" s="269">
        <v>0.75807384502780406</v>
      </c>
      <c r="I95" s="269">
        <f t="shared" si="79"/>
        <v>0.63896749039761225</v>
      </c>
      <c r="J95">
        <f t="shared" si="73"/>
        <v>0.36103250960238775</v>
      </c>
      <c r="K95">
        <f>IF(J95&gt;'Front page'!$E$21,'Front page'!$E$21,J95)+1</f>
        <v>1.1000000000000001</v>
      </c>
      <c r="L95" s="34">
        <f t="shared" si="76"/>
        <v>1.1000000000000001</v>
      </c>
      <c r="M95">
        <v>373</v>
      </c>
      <c r="N95" t="s">
        <v>104</v>
      </c>
      <c r="O95">
        <f t="shared" si="77"/>
        <v>1.1000000000000001</v>
      </c>
      <c r="Q95" s="65">
        <f t="shared" ref="Q95" si="108">IF(J95=1,0,IF(J95&lt;0.1,0.1,J95*-1))</f>
        <v>-0.36103250960238775</v>
      </c>
      <c r="R95" s="65">
        <f t="shared" si="82"/>
        <v>-0.36103250960238775</v>
      </c>
      <c r="T95" s="39"/>
    </row>
    <row r="96" spans="1:20">
      <c r="A96" s="83">
        <v>381</v>
      </c>
      <c r="B96" s="121">
        <f t="shared" si="75"/>
        <v>381</v>
      </c>
      <c r="C96" s="87" t="s">
        <v>506</v>
      </c>
      <c r="D96" s="85">
        <v>939344460</v>
      </c>
      <c r="E96" s="119">
        <f>'Student Enrollment Data'!CK98</f>
        <v>1407.1156862745097</v>
      </c>
      <c r="F96" s="82">
        <f t="shared" si="71"/>
        <v>667567.32880081492</v>
      </c>
      <c r="G96" s="118">
        <f t="shared" si="72"/>
        <v>1.1815164857788907</v>
      </c>
      <c r="H96" s="269">
        <v>1.0837208961591034</v>
      </c>
      <c r="I96" s="269">
        <f t="shared" si="79"/>
        <v>1.0837208961591034</v>
      </c>
      <c r="J96">
        <f t="shared" si="73"/>
        <v>0</v>
      </c>
      <c r="K96">
        <f>IF(J96&gt;'Front page'!$E$21,'Front page'!$E$21,J96)+1</f>
        <v>1</v>
      </c>
      <c r="L96" s="34">
        <f t="shared" si="76"/>
        <v>1</v>
      </c>
      <c r="M96">
        <v>381</v>
      </c>
      <c r="N96" t="s">
        <v>105</v>
      </c>
      <c r="O96">
        <f t="shared" si="77"/>
        <v>1</v>
      </c>
      <c r="Q96" s="65">
        <f t="shared" ref="Q96" si="109">IF(J96=1,0,IF(J96&gt;0.01,0.1,J96*-1))</f>
        <v>0</v>
      </c>
      <c r="R96" s="65">
        <f t="shared" si="82"/>
        <v>0</v>
      </c>
      <c r="T96" s="39"/>
    </row>
    <row r="97" spans="1:20">
      <c r="A97" s="83">
        <v>382</v>
      </c>
      <c r="B97" s="121">
        <f t="shared" si="75"/>
        <v>382</v>
      </c>
      <c r="C97" s="87" t="s">
        <v>507</v>
      </c>
      <c r="D97" s="85">
        <v>48885646</v>
      </c>
      <c r="E97" s="119">
        <f>'Student Enrollment Data'!CK99</f>
        <v>175</v>
      </c>
      <c r="F97" s="82">
        <f t="shared" si="71"/>
        <v>279346.54857142858</v>
      </c>
      <c r="G97" s="118">
        <f t="shared" si="72"/>
        <v>0.49441088283254764</v>
      </c>
      <c r="H97" s="269">
        <v>0.65454025374764413</v>
      </c>
      <c r="I97" s="269">
        <f t="shared" si="79"/>
        <v>0.49441088283254764</v>
      </c>
      <c r="J97">
        <f t="shared" si="73"/>
        <v>0.50558911716745236</v>
      </c>
      <c r="K97">
        <f>IF(J97&gt;'Front page'!$E$21,'Front page'!$E$21,J97)+1</f>
        <v>1.1000000000000001</v>
      </c>
      <c r="L97" s="34">
        <f t="shared" si="76"/>
        <v>1.1000000000000001</v>
      </c>
      <c r="M97">
        <v>382</v>
      </c>
      <c r="N97" t="s">
        <v>106</v>
      </c>
      <c r="O97">
        <f t="shared" si="77"/>
        <v>1.1000000000000001</v>
      </c>
      <c r="Q97" s="65">
        <f t="shared" ref="Q97" si="110">IF(J97=1,0,IF(J97&gt;0.01,0.01,J97*-1))</f>
        <v>0.01</v>
      </c>
      <c r="R97" s="65">
        <f t="shared" si="82"/>
        <v>0.01</v>
      </c>
      <c r="T97" s="39"/>
    </row>
    <row r="98" spans="1:20">
      <c r="A98" s="83">
        <v>383</v>
      </c>
      <c r="B98" s="121">
        <f t="shared" si="75"/>
        <v>383</v>
      </c>
      <c r="C98" s="87" t="s">
        <v>508</v>
      </c>
      <c r="D98" s="85">
        <v>33288719</v>
      </c>
      <c r="E98" s="119">
        <f>'Student Enrollment Data'!CK100</f>
        <v>15.5</v>
      </c>
      <c r="F98" s="82">
        <f t="shared" si="71"/>
        <v>2147659.2903225808</v>
      </c>
      <c r="G98" s="118">
        <f t="shared" ref="G98:G116" si="111">SUM(F98/$F$118)</f>
        <v>3.8011070162923537</v>
      </c>
      <c r="H98" s="269">
        <v>1.6633740085868305</v>
      </c>
      <c r="I98" s="269">
        <f t="shared" si="79"/>
        <v>1.6633740085868305</v>
      </c>
      <c r="J98">
        <f t="shared" ref="J98:J116" si="112">IF(G98&gt;1,0,G98-1)*-1</f>
        <v>0</v>
      </c>
      <c r="K98">
        <f>IF(J98&gt;'Front page'!$E$21,'Front page'!$E$21,J98)+1</f>
        <v>1</v>
      </c>
      <c r="L98" s="34">
        <f t="shared" si="76"/>
        <v>1</v>
      </c>
      <c r="M98">
        <v>383</v>
      </c>
      <c r="N98" t="s">
        <v>107</v>
      </c>
      <c r="O98">
        <f t="shared" si="77"/>
        <v>1</v>
      </c>
      <c r="Q98" s="65">
        <f t="shared" ref="Q98" si="113">IF(J98=1,0,IF(J98&lt;0.1,0.1,J98*-1))</f>
        <v>0.1</v>
      </c>
      <c r="R98" s="65">
        <f t="shared" si="82"/>
        <v>0.1</v>
      </c>
      <c r="T98" s="39"/>
    </row>
    <row r="99" spans="1:20">
      <c r="A99" s="83">
        <v>391</v>
      </c>
      <c r="B99" s="121">
        <f t="shared" si="75"/>
        <v>391</v>
      </c>
      <c r="C99" s="87" t="s">
        <v>407</v>
      </c>
      <c r="D99" s="85">
        <v>568567933</v>
      </c>
      <c r="E99" s="119">
        <f>'Student Enrollment Data'!CK101</f>
        <v>1049.2313725490196</v>
      </c>
      <c r="F99" s="82">
        <f t="shared" si="71"/>
        <v>541889.94713216776</v>
      </c>
      <c r="G99" s="118">
        <f t="shared" si="111"/>
        <v>0.95908214556369131</v>
      </c>
      <c r="H99" s="269">
        <v>0.83371478903095286</v>
      </c>
      <c r="I99" s="269">
        <f t="shared" si="79"/>
        <v>0.83371478903095286</v>
      </c>
      <c r="J99">
        <f t="shared" si="112"/>
        <v>4.0917854436308687E-2</v>
      </c>
      <c r="K99">
        <f>IF(J99&gt;'Front page'!$E$21,'Front page'!$E$21,J99)+1</f>
        <v>1.0409178544363087</v>
      </c>
      <c r="L99" s="34">
        <f t="shared" si="76"/>
        <v>1.0409178544363087</v>
      </c>
      <c r="M99">
        <v>391</v>
      </c>
      <c r="N99" t="s">
        <v>108</v>
      </c>
      <c r="O99">
        <f t="shared" si="77"/>
        <v>1.0409178544363087</v>
      </c>
      <c r="Q99" s="65">
        <f t="shared" ref="Q99" si="114">IF(J99=1,0,IF(J99&gt;0.01,0.1,J99*-1))</f>
        <v>0.1</v>
      </c>
      <c r="R99" s="65">
        <f t="shared" si="82"/>
        <v>0.1</v>
      </c>
      <c r="T99" s="39"/>
    </row>
    <row r="100" spans="1:20">
      <c r="A100" s="83">
        <v>392</v>
      </c>
      <c r="B100" s="121">
        <f t="shared" si="75"/>
        <v>392</v>
      </c>
      <c r="C100" s="87" t="s">
        <v>509</v>
      </c>
      <c r="D100" s="85">
        <v>88432324</v>
      </c>
      <c r="E100" s="119">
        <f>'Student Enrollment Data'!CK102</f>
        <v>93</v>
      </c>
      <c r="F100" s="82">
        <f t="shared" si="71"/>
        <v>950885.20430107531</v>
      </c>
      <c r="G100" s="118">
        <f t="shared" si="111"/>
        <v>1.6829561551238958</v>
      </c>
      <c r="H100" s="269">
        <v>0.69167660194579583</v>
      </c>
      <c r="I100" s="269">
        <f t="shared" si="79"/>
        <v>0.69167660194579583</v>
      </c>
      <c r="J100">
        <f t="shared" si="112"/>
        <v>0</v>
      </c>
      <c r="K100">
        <f>IF(J100&gt;'Front page'!$E$21,'Front page'!$E$21,J100)+1</f>
        <v>1</v>
      </c>
      <c r="L100" s="34">
        <f t="shared" si="76"/>
        <v>1</v>
      </c>
      <c r="M100">
        <v>392</v>
      </c>
      <c r="N100" t="s">
        <v>109</v>
      </c>
      <c r="O100">
        <f t="shared" si="77"/>
        <v>1</v>
      </c>
      <c r="Q100" s="65">
        <f t="shared" ref="Q100" si="115">IF(J100=1,0,IF(J100&gt;0.01,0.01,J100*-1))</f>
        <v>0</v>
      </c>
      <c r="R100" s="65">
        <f t="shared" si="82"/>
        <v>0</v>
      </c>
      <c r="T100" s="39"/>
    </row>
    <row r="101" spans="1:20">
      <c r="A101" s="83">
        <v>393</v>
      </c>
      <c r="B101" s="121">
        <f t="shared" si="75"/>
        <v>393</v>
      </c>
      <c r="C101" s="87" t="s">
        <v>510</v>
      </c>
      <c r="D101" s="85">
        <v>260095632</v>
      </c>
      <c r="E101" s="119">
        <f>'Student Enrollment Data'!CK103</f>
        <v>459.5</v>
      </c>
      <c r="F101" s="82">
        <f t="shared" si="71"/>
        <v>566040.54842219804</v>
      </c>
      <c r="G101" s="118">
        <f t="shared" si="111"/>
        <v>1.0018258993913409</v>
      </c>
      <c r="H101" s="269">
        <v>0.79225624025181407</v>
      </c>
      <c r="I101" s="269">
        <f t="shared" si="79"/>
        <v>0.79225624025181407</v>
      </c>
      <c r="J101">
        <f t="shared" si="112"/>
        <v>0</v>
      </c>
      <c r="K101">
        <f>IF(J101&gt;'Front page'!$E$21,'Front page'!$E$21,J101)+1</f>
        <v>1</v>
      </c>
      <c r="L101" s="34">
        <f t="shared" si="76"/>
        <v>1</v>
      </c>
      <c r="M101">
        <v>393</v>
      </c>
      <c r="N101" t="s">
        <v>110</v>
      </c>
      <c r="O101">
        <f t="shared" si="77"/>
        <v>1</v>
      </c>
      <c r="Q101" s="65">
        <f t="shared" ref="Q101" si="116">IF(J101=1,0,IF(J101&lt;0.1,0.1,J101*-1))</f>
        <v>0.1</v>
      </c>
      <c r="R101" s="65">
        <f t="shared" si="82"/>
        <v>0.1</v>
      </c>
      <c r="T101" s="39"/>
    </row>
    <row r="102" spans="1:20">
      <c r="A102" s="83">
        <v>394</v>
      </c>
      <c r="B102" s="121">
        <f t="shared" si="75"/>
        <v>394</v>
      </c>
      <c r="C102" s="87" t="s">
        <v>511</v>
      </c>
      <c r="D102" s="85">
        <v>133128637</v>
      </c>
      <c r="E102" s="119">
        <f>'Student Enrollment Data'!CK104</f>
        <v>17</v>
      </c>
      <c r="F102" s="82">
        <f t="shared" si="71"/>
        <v>7831096.2941176472</v>
      </c>
      <c r="G102" s="118">
        <f t="shared" si="111"/>
        <v>13.860129119624288</v>
      </c>
      <c r="H102" s="269">
        <v>6.3835361484460531</v>
      </c>
      <c r="I102" s="269">
        <f t="shared" si="79"/>
        <v>6.3835361484460531</v>
      </c>
      <c r="J102">
        <f t="shared" si="112"/>
        <v>0</v>
      </c>
      <c r="K102">
        <f>IF(J102&gt;'Front page'!$E$21,'Front page'!$E$21,J102)+1</f>
        <v>1</v>
      </c>
      <c r="L102" s="34">
        <f t="shared" si="76"/>
        <v>1</v>
      </c>
      <c r="M102">
        <v>394</v>
      </c>
      <c r="N102" t="s">
        <v>111</v>
      </c>
      <c r="O102">
        <f t="shared" si="77"/>
        <v>1</v>
      </c>
      <c r="Q102" s="65">
        <f t="shared" ref="Q102" si="117">IF(J102=1,0,IF(J102&gt;0.01,0.1,J102*-1))</f>
        <v>0</v>
      </c>
      <c r="R102" s="65">
        <f t="shared" si="82"/>
        <v>0</v>
      </c>
      <c r="T102" s="39"/>
    </row>
    <row r="103" spans="1:20">
      <c r="A103" s="83">
        <v>401</v>
      </c>
      <c r="B103" s="121">
        <f t="shared" si="75"/>
        <v>401</v>
      </c>
      <c r="C103" s="87" t="s">
        <v>512</v>
      </c>
      <c r="D103" s="85">
        <v>1867236168</v>
      </c>
      <c r="E103" s="119">
        <f>'Student Enrollment Data'!CK105</f>
        <v>1747</v>
      </c>
      <c r="F103" s="82">
        <f t="shared" si="71"/>
        <v>1068824.366342301</v>
      </c>
      <c r="G103" s="118">
        <f t="shared" si="111"/>
        <v>1.8916947471112724</v>
      </c>
      <c r="H103" s="269">
        <v>1.5064108449830826</v>
      </c>
      <c r="I103" s="269">
        <f t="shared" si="79"/>
        <v>1.5064108449830826</v>
      </c>
      <c r="J103">
        <f t="shared" si="112"/>
        <v>0</v>
      </c>
      <c r="K103">
        <f>IF(J103&gt;'Front page'!$E$21,'Front page'!$E$21,J103)+1</f>
        <v>1</v>
      </c>
      <c r="L103" s="34">
        <f t="shared" si="76"/>
        <v>1</v>
      </c>
      <c r="M103">
        <v>401</v>
      </c>
      <c r="N103" t="s">
        <v>112</v>
      </c>
      <c r="O103">
        <f t="shared" si="77"/>
        <v>1</v>
      </c>
      <c r="Q103" s="65">
        <f t="shared" ref="Q103" si="118">IF(J103=1,0,IF(J103&gt;0.01,0.01,J103*-1))</f>
        <v>0</v>
      </c>
      <c r="R103" s="65">
        <f t="shared" si="82"/>
        <v>0</v>
      </c>
      <c r="T103" s="39"/>
    </row>
    <row r="104" spans="1:20">
      <c r="A104" s="83">
        <v>411</v>
      </c>
      <c r="B104" s="121">
        <f t="shared" si="75"/>
        <v>411</v>
      </c>
      <c r="C104" s="87" t="s">
        <v>513</v>
      </c>
      <c r="D104" s="85">
        <v>3576922996</v>
      </c>
      <c r="E104" s="119">
        <f>'Student Enrollment Data'!CK106</f>
        <v>9064.9163600140055</v>
      </c>
      <c r="F104" s="82">
        <f t="shared" si="71"/>
        <v>394589.74070384842</v>
      </c>
      <c r="G104" s="118">
        <f t="shared" si="111"/>
        <v>0.69837792181696356</v>
      </c>
      <c r="H104" s="269">
        <v>0.86914673502053286</v>
      </c>
      <c r="I104" s="269">
        <f t="shared" si="79"/>
        <v>0.69837792181696356</v>
      </c>
      <c r="J104">
        <f t="shared" si="112"/>
        <v>0.30162207818303644</v>
      </c>
      <c r="K104">
        <f>IF(J104&gt;'Front page'!$E$21,'Front page'!$E$21,J104)+1</f>
        <v>1.1000000000000001</v>
      </c>
      <c r="L104" s="34">
        <f t="shared" si="76"/>
        <v>1.1000000000000001</v>
      </c>
      <c r="M104">
        <v>411</v>
      </c>
      <c r="N104" t="s">
        <v>113</v>
      </c>
      <c r="O104">
        <f t="shared" si="77"/>
        <v>1.1000000000000001</v>
      </c>
      <c r="Q104" s="65">
        <f t="shared" ref="Q104" si="119">IF(J104=1,0,IF(J104&lt;0.1,0.1,J104*-1))</f>
        <v>-0.30162207818303644</v>
      </c>
      <c r="R104" s="65">
        <f t="shared" si="82"/>
        <v>-0.30162207818303644</v>
      </c>
      <c r="T104" s="39"/>
    </row>
    <row r="105" spans="1:20">
      <c r="A105" s="83">
        <v>412</v>
      </c>
      <c r="B105" s="121">
        <f t="shared" si="75"/>
        <v>412</v>
      </c>
      <c r="C105" s="84" t="s">
        <v>514</v>
      </c>
      <c r="D105" s="85">
        <v>640294099</v>
      </c>
      <c r="E105" s="119">
        <f>'Student Enrollment Data'!CK107</f>
        <v>1212.9475490196078</v>
      </c>
      <c r="F105" s="82">
        <f t="shared" si="71"/>
        <v>527882.75924835505</v>
      </c>
      <c r="G105" s="118">
        <f t="shared" si="111"/>
        <v>0.93429105305493088</v>
      </c>
      <c r="H105" s="269">
        <v>0.97554102599026926</v>
      </c>
      <c r="I105" s="269">
        <f t="shared" si="79"/>
        <v>0.93429105305493088</v>
      </c>
      <c r="J105">
        <f t="shared" si="112"/>
        <v>6.5708946945069124E-2</v>
      </c>
      <c r="K105">
        <f>IF(J105&gt;'Front page'!$E$21,'Front page'!$E$21,J105)+1</f>
        <v>1.0657089469450691</v>
      </c>
      <c r="L105" s="34">
        <f t="shared" si="76"/>
        <v>1.0657089469450691</v>
      </c>
      <c r="M105">
        <v>412</v>
      </c>
      <c r="N105" t="s">
        <v>114</v>
      </c>
      <c r="O105">
        <f t="shared" si="77"/>
        <v>1.0657089469450691</v>
      </c>
      <c r="Q105" s="65">
        <f t="shared" ref="Q105" si="120">IF(J105=1,0,IF(J105&gt;0.01,0.1,J105*-1))</f>
        <v>0.1</v>
      </c>
      <c r="R105" s="65">
        <f t="shared" si="82"/>
        <v>0.1</v>
      </c>
      <c r="T105" s="39"/>
    </row>
    <row r="106" spans="1:20">
      <c r="A106" s="83">
        <v>413</v>
      </c>
      <c r="B106" s="121">
        <f t="shared" si="75"/>
        <v>413</v>
      </c>
      <c r="C106" s="87" t="s">
        <v>515</v>
      </c>
      <c r="D106" s="85">
        <v>554391597</v>
      </c>
      <c r="E106" s="119">
        <f>'Student Enrollment Data'!CK108</f>
        <v>1595.5</v>
      </c>
      <c r="F106" s="82">
        <f t="shared" si="71"/>
        <v>347472.01316201815</v>
      </c>
      <c r="G106" s="118">
        <f t="shared" si="111"/>
        <v>0.61498502725588</v>
      </c>
      <c r="H106" s="269">
        <v>0.81758394108820953</v>
      </c>
      <c r="I106" s="269">
        <f t="shared" si="79"/>
        <v>0.61498502725588</v>
      </c>
      <c r="J106">
        <f t="shared" si="112"/>
        <v>0.38501497274412</v>
      </c>
      <c r="K106">
        <f>IF(J106&gt;'Front page'!$E$21,'Front page'!$E$21,J106)+1</f>
        <v>1.1000000000000001</v>
      </c>
      <c r="L106" s="34">
        <f t="shared" si="76"/>
        <v>1.1000000000000001</v>
      </c>
      <c r="M106">
        <v>413</v>
      </c>
      <c r="N106" t="s">
        <v>115</v>
      </c>
      <c r="O106">
        <f t="shared" si="77"/>
        <v>1.1000000000000001</v>
      </c>
      <c r="Q106" s="65">
        <f t="shared" ref="Q106" si="121">IF(J106=1,0,IF(J106&gt;0.01,0.01,J106*-1))</f>
        <v>0.01</v>
      </c>
      <c r="R106" s="65">
        <f t="shared" si="82"/>
        <v>0.01</v>
      </c>
      <c r="T106" s="39"/>
    </row>
    <row r="107" spans="1:20">
      <c r="A107" s="83">
        <v>414</v>
      </c>
      <c r="B107" s="121">
        <f t="shared" si="75"/>
        <v>414</v>
      </c>
      <c r="C107" s="87" t="s">
        <v>516</v>
      </c>
      <c r="D107" s="85">
        <v>504591061</v>
      </c>
      <c r="E107" s="119">
        <f>'Student Enrollment Data'!CK109</f>
        <v>1900.9764705882353</v>
      </c>
      <c r="F107" s="82">
        <f t="shared" si="71"/>
        <v>265437.82566854189</v>
      </c>
      <c r="G107" s="118">
        <f t="shared" si="111"/>
        <v>0.46979406188145167</v>
      </c>
      <c r="H107" s="269">
        <v>0.74124033722621596</v>
      </c>
      <c r="I107" s="269">
        <f t="shared" si="79"/>
        <v>0.46979406188145167</v>
      </c>
      <c r="J107">
        <f t="shared" si="112"/>
        <v>0.53020593811854833</v>
      </c>
      <c r="K107">
        <f>IF(J107&gt;'Front page'!$E$21,'Front page'!$E$21,J107)+1</f>
        <v>1.1000000000000001</v>
      </c>
      <c r="L107" s="34">
        <f t="shared" si="76"/>
        <v>1.1000000000000001</v>
      </c>
      <c r="M107">
        <v>414</v>
      </c>
      <c r="N107" t="s">
        <v>116</v>
      </c>
      <c r="O107">
        <f t="shared" si="77"/>
        <v>1.1000000000000001</v>
      </c>
      <c r="Q107" s="65">
        <f t="shared" ref="Q107" si="122">IF(J107=1,0,IF(J107&lt;0.1,0.1,J107*-1))</f>
        <v>-0.53020593811854833</v>
      </c>
      <c r="R107" s="65">
        <f t="shared" si="82"/>
        <v>-0.53020593811854833</v>
      </c>
      <c r="T107" s="39"/>
    </row>
    <row r="108" spans="1:20">
      <c r="A108" s="83">
        <v>415</v>
      </c>
      <c r="B108" s="121">
        <f t="shared" si="75"/>
        <v>415</v>
      </c>
      <c r="C108" s="87" t="s">
        <v>517</v>
      </c>
      <c r="D108" s="85">
        <v>156154607</v>
      </c>
      <c r="E108" s="119">
        <f>'Student Enrollment Data'!CK110</f>
        <v>286.5</v>
      </c>
      <c r="F108" s="82">
        <f t="shared" si="71"/>
        <v>545042.25828970328</v>
      </c>
      <c r="G108" s="118">
        <f t="shared" si="111"/>
        <v>0.96466136947152314</v>
      </c>
      <c r="H108" s="269">
        <v>0.91205304949742683</v>
      </c>
      <c r="I108" s="269">
        <f t="shared" si="79"/>
        <v>0.91205304949742683</v>
      </c>
      <c r="J108">
        <f t="shared" si="112"/>
        <v>3.5338630528476855E-2</v>
      </c>
      <c r="K108">
        <f>IF(J108&gt;'Front page'!$E$21,'Front page'!$E$21,J108)+1</f>
        <v>1.0353386305284769</v>
      </c>
      <c r="L108" s="34">
        <f t="shared" si="76"/>
        <v>1.0353386305284769</v>
      </c>
      <c r="M108">
        <v>415</v>
      </c>
      <c r="N108" t="s">
        <v>117</v>
      </c>
      <c r="O108">
        <f t="shared" si="77"/>
        <v>1.0353386305284769</v>
      </c>
      <c r="Q108" s="65">
        <f t="shared" ref="Q108" si="123">IF(J108=1,0,IF(J108&gt;0.01,0.1,J108*-1))</f>
        <v>0.1</v>
      </c>
      <c r="R108" s="65">
        <f t="shared" si="82"/>
        <v>0.1</v>
      </c>
      <c r="T108" s="39"/>
    </row>
    <row r="109" spans="1:20">
      <c r="A109" s="83">
        <v>416</v>
      </c>
      <c r="B109" s="121">
        <f t="shared" si="75"/>
        <v>416</v>
      </c>
      <c r="C109" s="87" t="s">
        <v>518</v>
      </c>
      <c r="D109" s="85">
        <v>22624479</v>
      </c>
      <c r="E109" s="119">
        <f>'Student Enrollment Data'!CK111</f>
        <v>5.5</v>
      </c>
      <c r="F109" s="82">
        <f t="shared" si="71"/>
        <v>4113541.6363636362</v>
      </c>
      <c r="G109" s="118">
        <f t="shared" si="111"/>
        <v>7.2804899949674979</v>
      </c>
      <c r="H109" s="269">
        <v>1.5098105359693876</v>
      </c>
      <c r="I109" s="269">
        <f t="shared" si="79"/>
        <v>1.5098105359693876</v>
      </c>
      <c r="J109">
        <f t="shared" si="112"/>
        <v>0</v>
      </c>
      <c r="K109">
        <f>IF(J109&gt;'Front page'!$E$21,'Front page'!$E$21,J109)+1</f>
        <v>1</v>
      </c>
      <c r="L109" s="34">
        <f t="shared" si="76"/>
        <v>1</v>
      </c>
      <c r="M109">
        <v>416</v>
      </c>
      <c r="N109" t="s">
        <v>118</v>
      </c>
      <c r="O109">
        <f t="shared" si="77"/>
        <v>1</v>
      </c>
      <c r="Q109" s="65">
        <f t="shared" ref="Q109" si="124">IF(J109=1,0,IF(J109&gt;0.01,0.01,J109*-1))</f>
        <v>0</v>
      </c>
      <c r="R109" s="65">
        <f t="shared" si="82"/>
        <v>0</v>
      </c>
      <c r="T109" s="39"/>
    </row>
    <row r="110" spans="1:20">
      <c r="A110" s="83">
        <v>417</v>
      </c>
      <c r="B110" s="121">
        <f t="shared" si="75"/>
        <v>417</v>
      </c>
      <c r="C110" s="84" t="s">
        <v>519</v>
      </c>
      <c r="D110" s="85">
        <v>168128285</v>
      </c>
      <c r="E110" s="119">
        <f>'Student Enrollment Data'!CK112</f>
        <v>338</v>
      </c>
      <c r="F110" s="82">
        <f t="shared" si="71"/>
        <v>497420.96153846156</v>
      </c>
      <c r="G110" s="118">
        <f t="shared" si="111"/>
        <v>0.88037721601117758</v>
      </c>
      <c r="H110" s="269">
        <v>0.95638494515349737</v>
      </c>
      <c r="I110" s="269">
        <f t="shared" si="79"/>
        <v>0.88037721601117758</v>
      </c>
      <c r="J110">
        <f t="shared" si="112"/>
        <v>0.11962278398882242</v>
      </c>
      <c r="K110">
        <f>IF(J110&gt;'Front page'!$E$21,'Front page'!$E$21,J110)+1</f>
        <v>1.1000000000000001</v>
      </c>
      <c r="L110" s="34">
        <f t="shared" si="76"/>
        <v>1.1000000000000001</v>
      </c>
      <c r="M110">
        <v>417</v>
      </c>
      <c r="N110" t="s">
        <v>119</v>
      </c>
      <c r="O110">
        <f t="shared" si="77"/>
        <v>1.1000000000000001</v>
      </c>
      <c r="Q110" s="65">
        <f t="shared" ref="Q110" si="125">IF(J110=1,0,IF(J110&lt;0.1,0.1,J110*-1))</f>
        <v>-0.11962278398882242</v>
      </c>
      <c r="R110" s="65">
        <f t="shared" si="82"/>
        <v>-0.11962278398882242</v>
      </c>
      <c r="T110" s="39"/>
    </row>
    <row r="111" spans="1:20">
      <c r="A111" s="83">
        <v>418</v>
      </c>
      <c r="B111" s="121">
        <f t="shared" si="75"/>
        <v>418</v>
      </c>
      <c r="C111" s="87" t="s">
        <v>520</v>
      </c>
      <c r="D111" s="85">
        <v>166741043</v>
      </c>
      <c r="E111" s="119">
        <f>'Student Enrollment Data'!CK113</f>
        <v>343</v>
      </c>
      <c r="F111" s="82">
        <f t="shared" si="71"/>
        <v>486125.48979591834</v>
      </c>
      <c r="G111" s="118">
        <f t="shared" si="111"/>
        <v>0.8603855455044167</v>
      </c>
      <c r="H111" s="269">
        <v>0.90141612494225654</v>
      </c>
      <c r="I111" s="269">
        <f t="shared" si="79"/>
        <v>0.8603855455044167</v>
      </c>
      <c r="J111">
        <f t="shared" si="112"/>
        <v>0.1396144544955833</v>
      </c>
      <c r="K111">
        <f>IF(J111&gt;'Front page'!$E$21,'Front page'!$E$21,J111)+1</f>
        <v>1.1000000000000001</v>
      </c>
      <c r="L111" s="34">
        <f t="shared" si="76"/>
        <v>1.1000000000000001</v>
      </c>
      <c r="M111">
        <v>418</v>
      </c>
      <c r="N111" t="s">
        <v>120</v>
      </c>
      <c r="O111">
        <f t="shared" si="77"/>
        <v>1.1000000000000001</v>
      </c>
      <c r="Q111" s="65">
        <f t="shared" ref="Q111" si="126">IF(J111=1,0,IF(J111&gt;0.01,0.1,J111*-1))</f>
        <v>0.1</v>
      </c>
      <c r="R111" s="65">
        <f t="shared" si="82"/>
        <v>0.1</v>
      </c>
      <c r="T111" s="39"/>
    </row>
    <row r="112" spans="1:20">
      <c r="A112" s="83">
        <v>421</v>
      </c>
      <c r="B112" s="121">
        <f t="shared" si="75"/>
        <v>421</v>
      </c>
      <c r="C112" s="87" t="s">
        <v>521</v>
      </c>
      <c r="D112" s="85">
        <v>3568952798</v>
      </c>
      <c r="E112" s="119">
        <f>'Student Enrollment Data'!CK114</f>
        <v>1229</v>
      </c>
      <c r="F112" s="82">
        <f t="shared" si="71"/>
        <v>2903948.5744507732</v>
      </c>
      <c r="G112" s="118">
        <f t="shared" si="111"/>
        <v>5.1396510382422242</v>
      </c>
      <c r="H112" s="269">
        <v>3.0865905584222162</v>
      </c>
      <c r="I112" s="269">
        <f t="shared" si="79"/>
        <v>3.0865905584222162</v>
      </c>
      <c r="J112">
        <f t="shared" si="112"/>
        <v>0</v>
      </c>
      <c r="K112">
        <f>IF(J112&gt;'Front page'!$E$21,'Front page'!$E$21,J112)+1</f>
        <v>1</v>
      </c>
      <c r="L112" s="34">
        <f t="shared" si="76"/>
        <v>1</v>
      </c>
      <c r="M112">
        <v>421</v>
      </c>
      <c r="N112" t="s">
        <v>121</v>
      </c>
      <c r="O112">
        <f t="shared" si="77"/>
        <v>1</v>
      </c>
      <c r="Q112" s="65">
        <f t="shared" ref="Q112" si="127">IF(J112=1,0,IF(J112&gt;0.01,0.01,J112*-1))</f>
        <v>0</v>
      </c>
      <c r="R112" s="65">
        <f t="shared" si="82"/>
        <v>0</v>
      </c>
      <c r="T112" s="39"/>
    </row>
    <row r="113" spans="1:20">
      <c r="A113" s="83">
        <v>422</v>
      </c>
      <c r="B113" s="121">
        <f t="shared" si="75"/>
        <v>422</v>
      </c>
      <c r="C113" s="87" t="s">
        <v>522</v>
      </c>
      <c r="D113" s="85">
        <v>556287331</v>
      </c>
      <c r="E113" s="119">
        <f>'Student Enrollment Data'!CK115</f>
        <v>209</v>
      </c>
      <c r="F113" s="82">
        <f t="shared" si="71"/>
        <v>2661661.8708133972</v>
      </c>
      <c r="G113" s="118">
        <f t="shared" si="111"/>
        <v>4.7108317682117127</v>
      </c>
      <c r="H113" s="269">
        <v>2.2722379879994197</v>
      </c>
      <c r="I113" s="269">
        <f t="shared" si="79"/>
        <v>2.2722379879994197</v>
      </c>
      <c r="J113">
        <f t="shared" si="112"/>
        <v>0</v>
      </c>
      <c r="K113">
        <f>IF(J113&gt;'Front page'!$E$21,'Front page'!$E$21,J113)+1</f>
        <v>1</v>
      </c>
      <c r="L113" s="34">
        <f t="shared" si="76"/>
        <v>1</v>
      </c>
      <c r="M113">
        <v>422</v>
      </c>
      <c r="N113" t="s">
        <v>122</v>
      </c>
      <c r="O113">
        <f t="shared" si="77"/>
        <v>1</v>
      </c>
      <c r="Q113" s="65">
        <f t="shared" ref="Q113" si="128">IF(J113=1,0,IF(J113&lt;0.1,0.1,J113*-1))</f>
        <v>0.1</v>
      </c>
      <c r="R113" s="65">
        <f t="shared" si="82"/>
        <v>0.1</v>
      </c>
      <c r="T113" s="39"/>
    </row>
    <row r="114" spans="1:20">
      <c r="A114" s="83">
        <v>431</v>
      </c>
      <c r="B114" s="121">
        <f t="shared" si="75"/>
        <v>431</v>
      </c>
      <c r="C114" s="87" t="s">
        <v>523</v>
      </c>
      <c r="D114" s="85">
        <v>512512667</v>
      </c>
      <c r="E114" s="119">
        <f>'Student Enrollment Data'!CK116</f>
        <v>1523.0107156862746</v>
      </c>
      <c r="F114" s="82">
        <f t="shared" si="71"/>
        <v>336512.84375176561</v>
      </c>
      <c r="G114" s="118">
        <f t="shared" si="111"/>
        <v>0.59558857274107169</v>
      </c>
      <c r="H114" s="269">
        <v>0.69810809487011183</v>
      </c>
      <c r="I114" s="269">
        <f t="shared" si="79"/>
        <v>0.59558857274107169</v>
      </c>
      <c r="J114">
        <f t="shared" si="112"/>
        <v>0.40441142725892831</v>
      </c>
      <c r="K114">
        <f>IF(J114&gt;'Front page'!$E$21,'Front page'!$E$21,J114)+1</f>
        <v>1.1000000000000001</v>
      </c>
      <c r="L114" s="34">
        <f t="shared" si="76"/>
        <v>1.1000000000000001</v>
      </c>
      <c r="M114">
        <v>431</v>
      </c>
      <c r="N114" t="s">
        <v>123</v>
      </c>
      <c r="O114">
        <f t="shared" si="77"/>
        <v>1.1000000000000001</v>
      </c>
      <c r="Q114" s="65">
        <f t="shared" ref="Q114" si="129">IF(J114=1,0,IF(J114&gt;0.01,0.1,J114*-1))</f>
        <v>0.1</v>
      </c>
      <c r="R114" s="65">
        <f t="shared" si="82"/>
        <v>0.1</v>
      </c>
      <c r="T114" s="39"/>
    </row>
    <row r="115" spans="1:20">
      <c r="A115" s="83">
        <v>432</v>
      </c>
      <c r="B115" s="121">
        <f t="shared" si="75"/>
        <v>432</v>
      </c>
      <c r="C115" s="84" t="s">
        <v>524</v>
      </c>
      <c r="D115" s="85">
        <v>200848846</v>
      </c>
      <c r="E115" s="119">
        <f>'Student Enrollment Data'!CK117</f>
        <v>114</v>
      </c>
      <c r="F115" s="82">
        <f t="shared" si="71"/>
        <v>1761831.9824561405</v>
      </c>
      <c r="G115" s="118">
        <f t="shared" si="111"/>
        <v>3.1182375808950678</v>
      </c>
      <c r="H115" s="269">
        <v>1.1251597261750574</v>
      </c>
      <c r="I115" s="269">
        <f t="shared" si="79"/>
        <v>1.1251597261750574</v>
      </c>
      <c r="J115">
        <f t="shared" si="112"/>
        <v>0</v>
      </c>
      <c r="K115">
        <f>IF(J115&gt;'Front page'!$E$21,'Front page'!$E$21,J115)+1</f>
        <v>1</v>
      </c>
      <c r="L115" s="34">
        <f t="shared" si="76"/>
        <v>1</v>
      </c>
      <c r="M115">
        <v>432</v>
      </c>
      <c r="N115" t="s">
        <v>124</v>
      </c>
      <c r="O115">
        <f t="shared" si="77"/>
        <v>1</v>
      </c>
      <c r="Q115" s="65">
        <f t="shared" ref="Q115" si="130">IF(J115=1,0,IF(J115&gt;0.01,0.01,J115*-1))</f>
        <v>0</v>
      </c>
      <c r="R115" s="65">
        <f t="shared" si="82"/>
        <v>0</v>
      </c>
      <c r="T115" s="39"/>
    </row>
    <row r="116" spans="1:20">
      <c r="A116" s="83">
        <v>433</v>
      </c>
      <c r="B116" s="121">
        <f t="shared" si="75"/>
        <v>433</v>
      </c>
      <c r="C116" s="87" t="s">
        <v>525</v>
      </c>
      <c r="D116" s="85">
        <v>158665191</v>
      </c>
      <c r="E116" s="119">
        <f>'Student Enrollment Data'!CK118</f>
        <v>111</v>
      </c>
      <c r="F116" s="82">
        <f t="shared" si="71"/>
        <v>1429416.1351351351</v>
      </c>
      <c r="G116" s="118">
        <f t="shared" si="111"/>
        <v>2.5299002150604455</v>
      </c>
      <c r="H116" s="269">
        <v>0.97345139778555911</v>
      </c>
      <c r="I116" s="269">
        <f t="shared" si="79"/>
        <v>0.97345139778555911</v>
      </c>
      <c r="J116">
        <f t="shared" si="112"/>
        <v>0</v>
      </c>
      <c r="K116">
        <f>IF(J116&gt;'Front page'!$E$21,'Front page'!$E$21,J116)+1</f>
        <v>1</v>
      </c>
      <c r="L116" s="34">
        <f t="shared" si="76"/>
        <v>1</v>
      </c>
      <c r="M116">
        <v>433</v>
      </c>
      <c r="N116" t="s">
        <v>125</v>
      </c>
      <c r="O116">
        <f t="shared" si="77"/>
        <v>1</v>
      </c>
      <c r="Q116" s="65">
        <f t="shared" ref="Q116" si="131">IF(J116=1,0,IF(J116&lt;0.1,0.1,J116*-1))</f>
        <v>0.1</v>
      </c>
      <c r="R116" s="65">
        <f t="shared" si="82"/>
        <v>0.1</v>
      </c>
      <c r="T116" s="39"/>
    </row>
    <row r="117" spans="1:20">
      <c r="A117" s="89"/>
      <c r="B117" s="89"/>
      <c r="C117" s="84"/>
      <c r="E117" s="120"/>
      <c r="G117" s="118"/>
      <c r="L117" s="34"/>
      <c r="M117">
        <v>451</v>
      </c>
      <c r="N117" t="s">
        <v>126</v>
      </c>
      <c r="O117">
        <f t="shared" ref="O117:O169" si="132">IFERROR(VLOOKUP(M117,$B$2:$L$116,9,FALSE),1)</f>
        <v>1</v>
      </c>
      <c r="Q117" s="65"/>
      <c r="R117" s="155">
        <f>COUNTIF(R2:R116,10%)</f>
        <v>37</v>
      </c>
      <c r="T117" s="39"/>
    </row>
    <row r="118" spans="1:20">
      <c r="A118" s="89"/>
      <c r="B118" s="89"/>
      <c r="C118" s="90" t="s">
        <v>526</v>
      </c>
      <c r="D118" s="86">
        <f>SUM(D2:D116)</f>
        <v>152902005875</v>
      </c>
      <c r="E118" s="120">
        <f>SUM(E2:E116)</f>
        <v>270618.75687429955</v>
      </c>
      <c r="F118" s="82">
        <f>SUM(D118/E118)</f>
        <v>565008.89901737997</v>
      </c>
      <c r="G118" s="118"/>
      <c r="H118" s="270"/>
      <c r="I118" s="270"/>
      <c r="L118" s="34"/>
      <c r="M118">
        <v>452</v>
      </c>
      <c r="N118" t="s">
        <v>127</v>
      </c>
      <c r="O118">
        <f t="shared" si="132"/>
        <v>1</v>
      </c>
      <c r="Q118" s="65"/>
      <c r="R118" s="156"/>
      <c r="T118" s="39"/>
    </row>
    <row r="119" spans="1:20">
      <c r="A119" s="91"/>
      <c r="B119" s="91"/>
      <c r="C119" s="84"/>
      <c r="E119" s="120"/>
      <c r="G119" s="118"/>
      <c r="L119" s="34"/>
      <c r="M119">
        <v>453</v>
      </c>
      <c r="N119" t="s">
        <v>128</v>
      </c>
      <c r="O119">
        <f t="shared" si="132"/>
        <v>1</v>
      </c>
      <c r="T119" s="39"/>
    </row>
    <row r="120" spans="1:20">
      <c r="E120" s="120"/>
      <c r="F120" t="s">
        <v>534</v>
      </c>
      <c r="G120" s="118">
        <f>MIN(G2:G116)</f>
        <v>0.2700733217578658</v>
      </c>
      <c r="L120" s="34"/>
      <c r="M120">
        <v>454</v>
      </c>
      <c r="N120" t="s">
        <v>129</v>
      </c>
      <c r="O120">
        <f t="shared" si="132"/>
        <v>1</v>
      </c>
      <c r="Q120" s="65"/>
      <c r="R120" s="65"/>
      <c r="T120" s="39"/>
    </row>
    <row r="121" spans="1:20">
      <c r="E121" s="120"/>
      <c r="F121" t="s">
        <v>535</v>
      </c>
      <c r="G121" s="118">
        <f>MAX(G2:G116)</f>
        <v>13.860129119624288</v>
      </c>
      <c r="L121" s="34"/>
      <c r="M121">
        <v>455</v>
      </c>
      <c r="N121" t="s">
        <v>130</v>
      </c>
      <c r="O121">
        <f t="shared" si="132"/>
        <v>1</v>
      </c>
      <c r="Q121" s="65"/>
      <c r="R121" s="65"/>
      <c r="T121" s="39"/>
    </row>
    <row r="122" spans="1:20">
      <c r="E122" s="120"/>
      <c r="F122" t="s">
        <v>536</v>
      </c>
      <c r="G122" s="118">
        <f>STDEV(G2:G116)</f>
        <v>2.1297606338918396</v>
      </c>
      <c r="H122"/>
      <c r="I122"/>
      <c r="L122" s="34"/>
      <c r="M122">
        <v>456</v>
      </c>
      <c r="N122" t="s">
        <v>131</v>
      </c>
      <c r="O122">
        <f t="shared" si="132"/>
        <v>1</v>
      </c>
      <c r="T122" s="39"/>
    </row>
    <row r="123" spans="1:20">
      <c r="L123" s="34"/>
      <c r="M123">
        <v>457</v>
      </c>
      <c r="N123" t="s">
        <v>132</v>
      </c>
      <c r="O123">
        <f t="shared" si="132"/>
        <v>1</v>
      </c>
      <c r="Q123" s="65"/>
      <c r="R123" s="65"/>
      <c r="T123" s="39"/>
    </row>
    <row r="124" spans="1:20">
      <c r="L124" s="34"/>
      <c r="M124">
        <v>458</v>
      </c>
      <c r="N124" t="s">
        <v>133</v>
      </c>
      <c r="O124">
        <f t="shared" si="132"/>
        <v>1</v>
      </c>
      <c r="Q124" s="65"/>
      <c r="R124" s="65"/>
      <c r="T124" s="39"/>
    </row>
    <row r="125" spans="1:20">
      <c r="L125" s="34"/>
      <c r="M125">
        <v>460</v>
      </c>
      <c r="N125" t="s">
        <v>134</v>
      </c>
      <c r="O125">
        <f t="shared" si="132"/>
        <v>1</v>
      </c>
      <c r="T125" s="39"/>
    </row>
    <row r="126" spans="1:20">
      <c r="L126" s="34"/>
      <c r="M126">
        <v>461</v>
      </c>
      <c r="N126" t="s">
        <v>135</v>
      </c>
      <c r="O126">
        <f t="shared" si="132"/>
        <v>1</v>
      </c>
      <c r="Q126" s="65"/>
      <c r="R126" s="65"/>
      <c r="T126" s="39"/>
    </row>
    <row r="127" spans="1:20">
      <c r="L127" s="34"/>
      <c r="M127">
        <v>462</v>
      </c>
      <c r="N127" t="s">
        <v>136</v>
      </c>
      <c r="O127">
        <f t="shared" si="132"/>
        <v>1</v>
      </c>
      <c r="Q127" s="65"/>
      <c r="R127" s="65"/>
      <c r="T127" s="39"/>
    </row>
    <row r="128" spans="1:20">
      <c r="L128" s="34"/>
      <c r="M128">
        <v>463</v>
      </c>
      <c r="N128" t="s">
        <v>137</v>
      </c>
      <c r="O128">
        <f t="shared" si="132"/>
        <v>1</v>
      </c>
      <c r="T128" s="39"/>
    </row>
    <row r="129" spans="8:20">
      <c r="L129" s="34"/>
      <c r="M129">
        <v>464</v>
      </c>
      <c r="N129" t="s">
        <v>138</v>
      </c>
      <c r="O129">
        <f t="shared" si="132"/>
        <v>1</v>
      </c>
      <c r="Q129" s="65"/>
      <c r="R129" s="65"/>
      <c r="T129" s="39"/>
    </row>
    <row r="130" spans="8:20">
      <c r="L130" s="34"/>
      <c r="M130">
        <v>465</v>
      </c>
      <c r="N130" t="s">
        <v>139</v>
      </c>
      <c r="O130">
        <f t="shared" si="132"/>
        <v>1</v>
      </c>
      <c r="Q130" s="65"/>
      <c r="R130" s="65"/>
      <c r="T130" s="39"/>
    </row>
    <row r="131" spans="8:20">
      <c r="L131" s="34"/>
      <c r="M131">
        <v>466</v>
      </c>
      <c r="N131" t="s">
        <v>140</v>
      </c>
      <c r="O131">
        <f t="shared" si="132"/>
        <v>1</v>
      </c>
      <c r="T131" s="39"/>
    </row>
    <row r="132" spans="8:20">
      <c r="H132"/>
      <c r="I132"/>
      <c r="L132" s="34"/>
      <c r="M132">
        <v>468</v>
      </c>
      <c r="N132" t="s">
        <v>141</v>
      </c>
      <c r="O132">
        <f t="shared" si="132"/>
        <v>1</v>
      </c>
      <c r="Q132" s="65"/>
      <c r="R132" s="65"/>
      <c r="T132" s="39"/>
    </row>
    <row r="133" spans="8:20">
      <c r="L133" s="34"/>
      <c r="M133">
        <v>469</v>
      </c>
      <c r="N133" t="s">
        <v>142</v>
      </c>
      <c r="O133">
        <f t="shared" si="132"/>
        <v>1</v>
      </c>
      <c r="Q133" s="65"/>
      <c r="R133" s="65"/>
      <c r="T133" s="39"/>
    </row>
    <row r="134" spans="8:20">
      <c r="L134" s="34"/>
      <c r="M134">
        <v>470</v>
      </c>
      <c r="N134" t="s">
        <v>143</v>
      </c>
      <c r="O134">
        <f t="shared" si="132"/>
        <v>1</v>
      </c>
      <c r="T134" s="39"/>
    </row>
    <row r="135" spans="8:20">
      <c r="L135" s="34"/>
      <c r="M135">
        <v>472</v>
      </c>
      <c r="N135" t="s">
        <v>144</v>
      </c>
      <c r="O135">
        <f t="shared" si="132"/>
        <v>1</v>
      </c>
      <c r="Q135" s="65"/>
      <c r="R135" s="65"/>
      <c r="T135" s="39"/>
    </row>
    <row r="136" spans="8:20">
      <c r="L136" s="34"/>
      <c r="M136">
        <v>473</v>
      </c>
      <c r="N136" t="s">
        <v>145</v>
      </c>
      <c r="O136">
        <f t="shared" si="132"/>
        <v>1</v>
      </c>
      <c r="Q136" s="65"/>
      <c r="R136" s="65"/>
      <c r="T136" s="39"/>
    </row>
    <row r="137" spans="8:20">
      <c r="L137" s="34"/>
      <c r="M137">
        <v>474</v>
      </c>
      <c r="N137" t="s">
        <v>146</v>
      </c>
      <c r="O137">
        <f t="shared" si="132"/>
        <v>1</v>
      </c>
      <c r="T137" s="39"/>
    </row>
    <row r="138" spans="8:20">
      <c r="L138" s="34"/>
      <c r="M138">
        <v>475</v>
      </c>
      <c r="N138" t="s">
        <v>147</v>
      </c>
      <c r="O138">
        <f t="shared" si="132"/>
        <v>1</v>
      </c>
      <c r="Q138" s="65"/>
      <c r="R138" s="65"/>
      <c r="T138" s="39"/>
    </row>
    <row r="139" spans="8:20">
      <c r="L139" s="34"/>
      <c r="M139">
        <v>476</v>
      </c>
      <c r="N139" t="s">
        <v>148</v>
      </c>
      <c r="O139">
        <f t="shared" si="132"/>
        <v>1</v>
      </c>
      <c r="Q139" s="65"/>
      <c r="R139" s="65"/>
      <c r="T139" s="39"/>
    </row>
    <row r="140" spans="8:20">
      <c r="L140" s="34"/>
      <c r="M140">
        <v>477</v>
      </c>
      <c r="N140" t="s">
        <v>149</v>
      </c>
      <c r="O140">
        <f t="shared" si="132"/>
        <v>1</v>
      </c>
      <c r="T140" s="39"/>
    </row>
    <row r="141" spans="8:20">
      <c r="L141" s="34"/>
      <c r="M141">
        <v>478</v>
      </c>
      <c r="N141" t="s">
        <v>150</v>
      </c>
      <c r="O141">
        <f t="shared" si="132"/>
        <v>1</v>
      </c>
      <c r="Q141" s="65"/>
      <c r="R141" s="65"/>
      <c r="T141" s="39"/>
    </row>
    <row r="142" spans="8:20">
      <c r="L142" s="34"/>
      <c r="M142">
        <v>479</v>
      </c>
      <c r="N142" t="s">
        <v>151</v>
      </c>
      <c r="O142">
        <f t="shared" si="132"/>
        <v>1</v>
      </c>
      <c r="Q142" s="65"/>
      <c r="R142" s="65"/>
      <c r="T142" s="39"/>
    </row>
    <row r="143" spans="8:20">
      <c r="L143" s="34"/>
      <c r="M143">
        <v>480</v>
      </c>
      <c r="N143" t="s">
        <v>152</v>
      </c>
      <c r="O143">
        <f t="shared" si="132"/>
        <v>1</v>
      </c>
      <c r="T143" s="39"/>
    </row>
    <row r="144" spans="8:20">
      <c r="L144" s="34"/>
      <c r="M144">
        <v>481</v>
      </c>
      <c r="N144" t="s">
        <v>153</v>
      </c>
      <c r="O144">
        <f t="shared" si="132"/>
        <v>1</v>
      </c>
      <c r="Q144" s="65"/>
      <c r="R144" s="65"/>
      <c r="T144" s="39"/>
    </row>
    <row r="145" spans="12:20">
      <c r="L145" s="34"/>
      <c r="M145">
        <v>482</v>
      </c>
      <c r="N145" t="s">
        <v>154</v>
      </c>
      <c r="O145">
        <f t="shared" si="132"/>
        <v>1</v>
      </c>
      <c r="Q145" s="65"/>
      <c r="R145" s="65"/>
      <c r="T145" s="39"/>
    </row>
    <row r="146" spans="12:20">
      <c r="L146" s="34"/>
      <c r="M146">
        <v>483</v>
      </c>
      <c r="N146" t="s">
        <v>155</v>
      </c>
      <c r="O146">
        <f t="shared" si="132"/>
        <v>1</v>
      </c>
      <c r="T146" s="39"/>
    </row>
    <row r="147" spans="12:20">
      <c r="L147" s="34"/>
      <c r="M147">
        <v>485</v>
      </c>
      <c r="N147" t="s">
        <v>156</v>
      </c>
      <c r="O147">
        <f t="shared" si="132"/>
        <v>1</v>
      </c>
      <c r="Q147" s="65"/>
      <c r="R147" s="65"/>
      <c r="T147" s="39"/>
    </row>
    <row r="148" spans="12:20">
      <c r="L148" s="34"/>
      <c r="M148">
        <v>486</v>
      </c>
      <c r="N148" t="s">
        <v>157</v>
      </c>
      <c r="O148">
        <f t="shared" si="132"/>
        <v>1</v>
      </c>
      <c r="Q148" s="65"/>
      <c r="R148" s="65"/>
      <c r="T148" s="39"/>
    </row>
    <row r="149" spans="12:20">
      <c r="L149" s="34"/>
      <c r="M149">
        <v>487</v>
      </c>
      <c r="N149" t="s">
        <v>158</v>
      </c>
      <c r="O149">
        <f t="shared" si="132"/>
        <v>1</v>
      </c>
      <c r="T149" s="39"/>
    </row>
    <row r="150" spans="12:20">
      <c r="L150" s="34"/>
      <c r="M150">
        <v>488</v>
      </c>
      <c r="N150" t="s">
        <v>159</v>
      </c>
      <c r="O150">
        <f t="shared" si="132"/>
        <v>1</v>
      </c>
      <c r="Q150" s="65"/>
      <c r="R150" s="65"/>
      <c r="T150" s="39"/>
    </row>
    <row r="151" spans="12:20">
      <c r="L151" s="34"/>
      <c r="M151">
        <v>489</v>
      </c>
      <c r="N151" t="s">
        <v>160</v>
      </c>
      <c r="O151">
        <f t="shared" si="132"/>
        <v>1</v>
      </c>
      <c r="Q151" s="65"/>
      <c r="R151" s="65"/>
      <c r="T151" s="39"/>
    </row>
    <row r="152" spans="12:20">
      <c r="L152" s="34"/>
      <c r="M152">
        <v>490</v>
      </c>
      <c r="N152" t="s">
        <v>161</v>
      </c>
      <c r="O152">
        <f t="shared" si="132"/>
        <v>1</v>
      </c>
      <c r="T152" s="39"/>
    </row>
    <row r="153" spans="12:20">
      <c r="L153" s="34"/>
      <c r="M153">
        <v>491</v>
      </c>
      <c r="N153" t="s">
        <v>162</v>
      </c>
      <c r="O153">
        <f t="shared" si="132"/>
        <v>1</v>
      </c>
      <c r="Q153" s="65"/>
      <c r="R153" s="65"/>
      <c r="T153" s="39"/>
    </row>
    <row r="154" spans="12:20">
      <c r="L154" s="34"/>
      <c r="M154">
        <v>492</v>
      </c>
      <c r="N154" t="s">
        <v>163</v>
      </c>
      <c r="O154">
        <f t="shared" si="132"/>
        <v>1</v>
      </c>
      <c r="Q154" s="65"/>
      <c r="R154" s="65"/>
      <c r="T154" s="39"/>
    </row>
    <row r="155" spans="12:20">
      <c r="L155" s="34"/>
      <c r="M155">
        <v>493</v>
      </c>
      <c r="N155" t="s">
        <v>164</v>
      </c>
      <c r="O155">
        <f t="shared" si="132"/>
        <v>1</v>
      </c>
      <c r="T155" s="39"/>
    </row>
    <row r="156" spans="12:20">
      <c r="L156" s="34"/>
      <c r="M156">
        <v>494</v>
      </c>
      <c r="N156" t="s">
        <v>165</v>
      </c>
      <c r="O156">
        <f t="shared" si="132"/>
        <v>1</v>
      </c>
      <c r="Q156" s="65"/>
      <c r="R156" s="65"/>
      <c r="T156" s="39"/>
    </row>
    <row r="157" spans="12:20">
      <c r="L157" s="34"/>
      <c r="M157">
        <v>495</v>
      </c>
      <c r="N157" t="s">
        <v>166</v>
      </c>
      <c r="O157">
        <f t="shared" si="132"/>
        <v>1</v>
      </c>
      <c r="Q157" s="65"/>
      <c r="R157" s="65"/>
      <c r="T157" s="39"/>
    </row>
    <row r="158" spans="12:20">
      <c r="L158" s="34"/>
      <c r="M158">
        <v>496</v>
      </c>
      <c r="N158" t="s">
        <v>167</v>
      </c>
      <c r="O158">
        <f t="shared" si="132"/>
        <v>1</v>
      </c>
      <c r="T158" s="39"/>
    </row>
    <row r="159" spans="12:20">
      <c r="L159" s="34"/>
      <c r="M159">
        <v>497</v>
      </c>
      <c r="N159" t="s">
        <v>168</v>
      </c>
      <c r="O159">
        <f t="shared" si="132"/>
        <v>1</v>
      </c>
      <c r="Q159" s="65"/>
      <c r="R159" s="65"/>
      <c r="T159" s="39"/>
    </row>
    <row r="160" spans="12:20">
      <c r="L160" s="34"/>
      <c r="M160">
        <v>555</v>
      </c>
      <c r="N160" t="s">
        <v>169</v>
      </c>
      <c r="O160">
        <f t="shared" si="132"/>
        <v>1</v>
      </c>
      <c r="Q160" s="65"/>
      <c r="R160" s="65"/>
      <c r="T160" s="39"/>
    </row>
    <row r="161" spans="12:20">
      <c r="L161" s="34"/>
      <c r="M161">
        <v>559</v>
      </c>
      <c r="N161" t="s">
        <v>170</v>
      </c>
      <c r="O161">
        <f t="shared" si="132"/>
        <v>1</v>
      </c>
      <c r="T161" s="39"/>
    </row>
    <row r="162" spans="12:20">
      <c r="L162" s="34"/>
      <c r="M162">
        <v>751</v>
      </c>
      <c r="N162" t="s">
        <v>171</v>
      </c>
      <c r="O162">
        <f t="shared" si="132"/>
        <v>1</v>
      </c>
      <c r="Q162" s="65"/>
      <c r="R162" s="65"/>
      <c r="T162" s="39"/>
    </row>
    <row r="163" spans="12:20">
      <c r="L163" s="34"/>
      <c r="M163">
        <v>768</v>
      </c>
      <c r="N163" t="s">
        <v>172</v>
      </c>
      <c r="O163">
        <f t="shared" si="132"/>
        <v>1</v>
      </c>
      <c r="Q163" s="65"/>
      <c r="R163" s="65"/>
      <c r="T163" s="39"/>
    </row>
    <row r="164" spans="12:20">
      <c r="L164" s="34"/>
      <c r="M164">
        <v>785</v>
      </c>
      <c r="N164" t="s">
        <v>173</v>
      </c>
      <c r="O164">
        <f t="shared" si="132"/>
        <v>1</v>
      </c>
      <c r="T164" s="39"/>
    </row>
    <row r="165" spans="12:20">
      <c r="L165" s="34"/>
      <c r="M165">
        <v>790</v>
      </c>
      <c r="N165" t="s">
        <v>174</v>
      </c>
      <c r="O165">
        <f t="shared" si="132"/>
        <v>1</v>
      </c>
      <c r="Q165" s="65"/>
      <c r="R165" s="65"/>
      <c r="T165" s="39"/>
    </row>
    <row r="166" spans="12:20">
      <c r="L166" s="34"/>
      <c r="M166">
        <v>794</v>
      </c>
      <c r="N166" t="s">
        <v>175</v>
      </c>
      <c r="O166">
        <f t="shared" si="132"/>
        <v>1</v>
      </c>
      <c r="Q166" s="65"/>
      <c r="R166" s="65"/>
      <c r="T166" s="39"/>
    </row>
    <row r="167" spans="12:20">
      <c r="L167" s="34"/>
      <c r="M167">
        <v>795</v>
      </c>
      <c r="N167" t="s">
        <v>176</v>
      </c>
      <c r="O167">
        <f t="shared" si="132"/>
        <v>1</v>
      </c>
      <c r="T167" s="39"/>
    </row>
    <row r="168" spans="12:20">
      <c r="L168" s="34"/>
      <c r="M168">
        <v>796</v>
      </c>
      <c r="N168" t="s">
        <v>177</v>
      </c>
      <c r="O168">
        <f t="shared" si="132"/>
        <v>1</v>
      </c>
      <c r="Q168" s="65"/>
      <c r="R168" s="65"/>
      <c r="T168" s="39"/>
    </row>
    <row r="169" spans="12:20">
      <c r="L169" s="34"/>
      <c r="M169">
        <v>813</v>
      </c>
      <c r="N169" t="s">
        <v>178</v>
      </c>
      <c r="O169">
        <f t="shared" si="132"/>
        <v>1</v>
      </c>
      <c r="Q169" s="65"/>
      <c r="R169" s="65"/>
      <c r="T169" s="39"/>
    </row>
  </sheetData>
  <mergeCells count="1">
    <mergeCell ref="U16:Z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Front page</vt:lpstr>
      <vt:lpstr>Funding Comparison</vt:lpstr>
      <vt:lpstr>Budget Estimating Tool</vt:lpstr>
      <vt:lpstr>Minimum and Maximum Funding</vt:lpstr>
      <vt:lpstr>Student Enrollment Data</vt:lpstr>
      <vt:lpstr>Small Dist Weight</vt:lpstr>
      <vt:lpstr>Remote School Building Weight</vt:lpstr>
      <vt:lpstr>Large District Weight</vt:lpstr>
      <vt:lpstr>Economic Adjustment</vt:lpstr>
      <vt:lpstr>Teacher Exp</vt:lpstr>
      <vt:lpstr>Calculations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Silverstein</dc:creator>
  <cp:lastModifiedBy>Paul Headlee</cp:lastModifiedBy>
  <dcterms:created xsi:type="dcterms:W3CDTF">2018-07-31T19:57:14Z</dcterms:created>
  <dcterms:modified xsi:type="dcterms:W3CDTF">2019-03-01T20:34:19Z</dcterms:modified>
</cp:coreProperties>
</file>